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E952725-AD59-4310-AFE9-0CC05B9BD0BD}" xr6:coauthVersionLast="47" xr6:coauthVersionMax="47" xr10:uidLastSave="{00000000-0000-0000-0000-000000000000}"/>
  <bookViews>
    <workbookView xWindow="-108" yWindow="-108" windowWidth="23256" windowHeight="12456" tabRatio="765" firstSheet="3" activeTab="3" xr2:uid="{00000000-000D-0000-FFFF-FFFF00000000}"/>
  </bookViews>
  <sheets>
    <sheet name="RESUMO" sheetId="29" r:id="rId1"/>
    <sheet name="DMT" sheetId="99" r:id="rId2"/>
    <sheet name="REAJUSTE" sheetId="100" r:id="rId3"/>
    <sheet name="PLANILHA " sheetId="34" r:id="rId4"/>
    <sheet name="MEMÓRIA DE CALCULO" sheetId="38" r:id="rId5"/>
    <sheet name="CRONOGRAMA " sheetId="4" r:id="rId6"/>
    <sheet name="BDI" sheetId="53" r:id="rId7"/>
    <sheet name="CURVA ABC" sheetId="54" r:id="rId8"/>
    <sheet name="COMP_01" sheetId="76" r:id="rId9"/>
    <sheet name="COMP_2" sheetId="82" r:id="rId10"/>
    <sheet name="COMP_03" sheetId="86" r:id="rId11"/>
    <sheet name="COMP_04" sheetId="87" r:id="rId12"/>
    <sheet name="COMP_05" sheetId="88" r:id="rId13"/>
    <sheet name="COMP_06" sheetId="89" r:id="rId14"/>
    <sheet name="1600438" sheetId="90" r:id="rId15"/>
    <sheet name="4915668" sheetId="91" r:id="rId16"/>
    <sheet name="1416257" sheetId="92" r:id="rId17"/>
    <sheet name="3807865" sheetId="93" r:id="rId18"/>
    <sheet name="2407972" sheetId="94" r:id="rId19"/>
    <sheet name="0307735" sheetId="96" r:id="rId20"/>
    <sheet name="0307084" sheetId="97" r:id="rId21"/>
    <sheet name="2419790" sheetId="98" r:id="rId22"/>
  </sheets>
  <externalReferences>
    <externalReference r:id="rId23"/>
    <externalReference r:id="rId24"/>
  </externalReferences>
  <definedNames>
    <definedName name="_xlnm._FilterDatabase" localSheetId="3" hidden="1">'PLANILHA '!$C$1:$C$127</definedName>
    <definedName name="_xlnm.Print_Area" localSheetId="20">'0307084'!#REF!</definedName>
    <definedName name="_xlnm.Print_Area" localSheetId="19">'0307735'!#REF!</definedName>
    <definedName name="_xlnm.Print_Area" localSheetId="16">'1416257'!$A$1:$I$35</definedName>
    <definedName name="_xlnm.Print_Area" localSheetId="14">'1600438'!$A$1:$I$32</definedName>
    <definedName name="_xlnm.Print_Area" localSheetId="18">'2407972'!#REF!</definedName>
    <definedName name="_xlnm.Print_Area" localSheetId="21">'2419790'!#REF!</definedName>
    <definedName name="_xlnm.Print_Area" localSheetId="17">'3807865'!#REF!</definedName>
    <definedName name="_xlnm.Print_Area" localSheetId="15">'4915668'!$A$1:$I$31</definedName>
    <definedName name="_xlnm.Print_Area" localSheetId="6">BDI!$A$1:$F$44</definedName>
    <definedName name="_xlnm.Print_Area" localSheetId="8">COMP_01!$A$1:$L$28</definedName>
    <definedName name="_xlnm.Print_Area" localSheetId="10">COMP_03!$A$1:$L$37</definedName>
    <definedName name="_xlnm.Print_Area" localSheetId="11">COMP_04!$A$1:$L$35</definedName>
    <definedName name="_xlnm.Print_Area" localSheetId="9">COMP_2!$A$1:$L$31</definedName>
    <definedName name="_xlnm.Print_Area" localSheetId="5">'CRONOGRAMA '!$A$1:$T$25</definedName>
    <definedName name="_xlnm.Print_Area" localSheetId="7">'CURVA ABC'!$A$1:$J$93</definedName>
    <definedName name="_xlnm.Print_Area" localSheetId="1">DMT!$A$1:$F$19</definedName>
    <definedName name="_xlnm.Print_Area" localSheetId="4">'MEMÓRIA DE CALCULO'!$A$1:$T$337</definedName>
    <definedName name="_xlnm.Print_Area" localSheetId="3">'PLANILHA '!$A$1:$I$112</definedName>
    <definedName name="_xlnm.Print_Area" localSheetId="2">REAJUSTE!$A$1:$L$17</definedName>
    <definedName name="_xlnm.Print_Area" localSheetId="0">RESUMO!$A$1:$D$24</definedName>
    <definedName name="_xlnm.Print_Titles" localSheetId="6">BDI!$A:$D,BDI!$2:$9</definedName>
    <definedName name="_xlnm.Print_Titles" localSheetId="8">COMP_01!$A:$D,COMP_01!$2:$7</definedName>
    <definedName name="_xlnm.Print_Titles" localSheetId="10">COMP_03!$A:$D,COMP_03!$2:$7</definedName>
    <definedName name="_xlnm.Print_Titles" localSheetId="11">COMP_04!$A:$D,COMP_04!$2:$10</definedName>
    <definedName name="_xlnm.Print_Titles" localSheetId="9">COMP_2!$A:$D,COMP_2!$2:$8</definedName>
    <definedName name="_xlnm.Print_Titles" localSheetId="5">'CRONOGRAMA '!$A:$D,'CRONOGRAMA '!$1:$7</definedName>
    <definedName name="_xlnm.Print_Titles" localSheetId="7">'CURVA ABC'!$A:$D,'CURVA ABC'!$2:$7</definedName>
    <definedName name="_xlnm.Print_Titles" localSheetId="1">DMT!$A:$F,DMT!$2:$8</definedName>
    <definedName name="_xlnm.Print_Titles" localSheetId="3">'PLANILHA '!$1:$10</definedName>
    <definedName name="_xlnm.Print_Titles" localSheetId="2">REAJUSTE!$A:$L,REAJUSTE!$2:$7</definedName>
    <definedName name="_xlnm.Print_Titles" localSheetId="0">RESUMO!$A:$D,RESUMO!$2:$9</definedName>
  </definedNames>
  <calcPr calcId="191029"/>
</workbook>
</file>

<file path=xl/calcChain.xml><?xml version="1.0" encoding="utf-8"?>
<calcChain xmlns="http://schemas.openxmlformats.org/spreadsheetml/2006/main">
  <c r="E26" i="89" l="1"/>
  <c r="E25" i="89"/>
  <c r="E82" i="34" l="1"/>
  <c r="D82" i="34"/>
  <c r="C82" i="34"/>
  <c r="B82" i="34"/>
  <c r="E75" i="34" l="1"/>
  <c r="D75" i="34"/>
  <c r="C75" i="34"/>
  <c r="B75" i="34"/>
  <c r="E40" i="34"/>
  <c r="D40" i="34"/>
  <c r="C40" i="34"/>
  <c r="B40" i="34"/>
  <c r="E39" i="34"/>
  <c r="D39" i="34"/>
  <c r="C39" i="34"/>
  <c r="B39" i="34"/>
  <c r="L37" i="34"/>
  <c r="E37" i="34"/>
  <c r="D37" i="34"/>
  <c r="C37" i="34"/>
  <c r="B37" i="34"/>
  <c r="E12" i="34"/>
  <c r="B12" i="34"/>
  <c r="D12" i="34"/>
  <c r="C12" i="34"/>
  <c r="K15" i="100"/>
  <c r="L15" i="100" s="1"/>
  <c r="L75" i="34" s="1"/>
  <c r="K14" i="100"/>
  <c r="L14" i="100" s="1"/>
  <c r="L82" i="34" s="1"/>
  <c r="K13" i="100"/>
  <c r="L13" i="100" s="1"/>
  <c r="L39" i="34" s="1"/>
  <c r="K12" i="100"/>
  <c r="L12" i="100" s="1"/>
  <c r="K11" i="100"/>
  <c r="L11" i="100" s="1"/>
  <c r="L12" i="34" s="1"/>
  <c r="L33" i="88"/>
  <c r="L34" i="88" s="1"/>
  <c r="L28" i="76"/>
  <c r="L62" i="34"/>
  <c r="J25" i="89"/>
  <c r="J24" i="89"/>
  <c r="J31" i="87"/>
  <c r="D27" i="87"/>
  <c r="C27" i="87"/>
  <c r="B27" i="87"/>
  <c r="A27" i="87"/>
  <c r="K10" i="100"/>
  <c r="L10" i="100" s="1"/>
  <c r="J27" i="87" s="1"/>
  <c r="D26" i="87"/>
  <c r="C26" i="87"/>
  <c r="B26" i="87"/>
  <c r="A26" i="87"/>
  <c r="K9" i="100"/>
  <c r="L9" i="100" s="1"/>
  <c r="J26" i="87" s="1"/>
  <c r="F33" i="86"/>
  <c r="B20" i="82"/>
  <c r="L27" i="76"/>
  <c r="D20" i="82"/>
  <c r="C20" i="82"/>
  <c r="A20" i="82"/>
  <c r="K8" i="100"/>
  <c r="L8" i="100" s="1"/>
  <c r="J20" i="82" s="1"/>
  <c r="E20" i="82"/>
  <c r="L6" i="82"/>
  <c r="L11" i="82"/>
  <c r="D33" i="53"/>
  <c r="G30" i="98"/>
  <c r="F30" i="98"/>
  <c r="F34" i="97"/>
  <c r="F34" i="96"/>
  <c r="G31" i="96"/>
  <c r="F31" i="96"/>
  <c r="G29" i="94"/>
  <c r="F29" i="94"/>
  <c r="G31" i="93"/>
  <c r="F31" i="93"/>
  <c r="F31" i="92"/>
  <c r="F27" i="91"/>
  <c r="F28" i="90"/>
  <c r="D19" i="99"/>
  <c r="D18" i="99"/>
  <c r="G31" i="92" s="1"/>
  <c r="E33" i="86" l="1"/>
  <c r="J33" i="86" s="1"/>
  <c r="G34" i="96"/>
  <c r="G34" i="97"/>
  <c r="L40" i="34"/>
  <c r="D17" i="99"/>
  <c r="D16" i="99"/>
  <c r="D15" i="99"/>
  <c r="D14" i="99"/>
  <c r="D13" i="99"/>
  <c r="D12" i="99"/>
  <c r="D11" i="99"/>
  <c r="D10" i="99"/>
  <c r="D9" i="99"/>
  <c r="I28" i="98"/>
  <c r="I31" i="98" s="1"/>
  <c r="I32" i="98" s="1"/>
  <c r="L77" i="34" s="1"/>
  <c r="I32" i="97"/>
  <c r="I35" i="97" s="1"/>
  <c r="I36" i="97" s="1"/>
  <c r="L64" i="34" s="1"/>
  <c r="I32" i="96"/>
  <c r="I29" i="96"/>
  <c r="I27" i="94"/>
  <c r="I30" i="94" s="1"/>
  <c r="I31" i="94" s="1"/>
  <c r="L51" i="34" s="1"/>
  <c r="I29" i="93"/>
  <c r="I32" i="93" s="1"/>
  <c r="I33" i="93" s="1"/>
  <c r="L50" i="34" s="1"/>
  <c r="I29" i="92"/>
  <c r="I32" i="92" s="1"/>
  <c r="I33" i="92" s="1"/>
  <c r="R57" i="38"/>
  <c r="R54" i="38"/>
  <c r="G27" i="91" l="1"/>
  <c r="I25" i="91" s="1"/>
  <c r="I28" i="91" s="1"/>
  <c r="I29" i="91" s="1"/>
  <c r="L46" i="34" s="1"/>
  <c r="G28" i="90"/>
  <c r="I26" i="90" s="1"/>
  <c r="I29" i="90" s="1"/>
  <c r="I30" i="90" s="1"/>
  <c r="L38" i="34" s="1"/>
  <c r="I34" i="92"/>
  <c r="I35" i="92" s="1"/>
  <c r="L49" i="34"/>
  <c r="I35" i="96"/>
  <c r="I36" i="96" s="1"/>
  <c r="I33" i="98"/>
  <c r="I34" i="98" s="1"/>
  <c r="I37" i="97"/>
  <c r="I38" i="97" s="1"/>
  <c r="I32" i="94"/>
  <c r="I33" i="94" s="1"/>
  <c r="I34" i="93"/>
  <c r="I35" i="93" s="1"/>
  <c r="D53" i="54"/>
  <c r="A53" i="54"/>
  <c r="R147" i="38"/>
  <c r="T146" i="38" s="1"/>
  <c r="U146" i="38" s="1"/>
  <c r="F53" i="34" s="1"/>
  <c r="R315" i="38"/>
  <c r="T314" i="38" s="1"/>
  <c r="U314" i="38" s="1"/>
  <c r="F104" i="34" s="1"/>
  <c r="S314" i="38"/>
  <c r="B314" i="38"/>
  <c r="A314" i="38"/>
  <c r="L104" i="34"/>
  <c r="T118" i="38"/>
  <c r="U118" i="38" s="1"/>
  <c r="L53" i="34"/>
  <c r="S146" i="38"/>
  <c r="B146" i="38"/>
  <c r="A146" i="38"/>
  <c r="S118" i="38"/>
  <c r="S115" i="38"/>
  <c r="B118" i="38"/>
  <c r="A118" i="38"/>
  <c r="L44" i="34"/>
  <c r="I30" i="91" l="1"/>
  <c r="I31" i="91" s="1"/>
  <c r="I31" i="90"/>
  <c r="I32" i="90" s="1"/>
  <c r="I37" i="96"/>
  <c r="I38" i="96" s="1"/>
  <c r="L63" i="34"/>
  <c r="F44" i="34"/>
  <c r="R82" i="38"/>
  <c r="T81" i="38" s="1"/>
  <c r="U81" i="38" s="1"/>
  <c r="F34" i="34" s="1"/>
  <c r="S81" i="38"/>
  <c r="A81" i="38"/>
  <c r="B81" i="38"/>
  <c r="L34" i="34"/>
  <c r="E25" i="87"/>
  <c r="E26" i="87"/>
  <c r="U8" i="4"/>
  <c r="V8" i="4" s="1"/>
  <c r="D17" i="54"/>
  <c r="D14" i="54"/>
  <c r="D82" i="54"/>
  <c r="D60" i="54"/>
  <c r="D24" i="54"/>
  <c r="D45" i="54"/>
  <c r="D27" i="54"/>
  <c r="D42" i="54"/>
  <c r="D38" i="54"/>
  <c r="D15" i="54"/>
  <c r="D30" i="54"/>
  <c r="D25" i="54"/>
  <c r="D44" i="54"/>
  <c r="D19" i="54"/>
  <c r="D18" i="54"/>
  <c r="D54" i="54"/>
  <c r="D52" i="54"/>
  <c r="D55" i="54"/>
  <c r="D49" i="54"/>
  <c r="D48" i="54"/>
  <c r="D64" i="54"/>
  <c r="D16" i="54"/>
  <c r="D31" i="54"/>
  <c r="D67" i="54"/>
  <c r="D58" i="54"/>
  <c r="D71" i="54"/>
  <c r="D28" i="54"/>
  <c r="D33" i="54"/>
  <c r="D43" i="54"/>
  <c r="D37" i="54"/>
  <c r="D10" i="54"/>
  <c r="D35" i="54"/>
  <c r="D51" i="54"/>
  <c r="D73" i="54"/>
  <c r="D68" i="54"/>
  <c r="D12" i="54"/>
  <c r="D22" i="54"/>
  <c r="D11" i="54"/>
  <c r="D26" i="54"/>
  <c r="D13" i="54"/>
  <c r="D29" i="54"/>
  <c r="D76" i="54"/>
  <c r="D78" i="54"/>
  <c r="D21" i="54"/>
  <c r="D66" i="54"/>
  <c r="D69" i="54"/>
  <c r="D9" i="54"/>
  <c r="D8" i="54"/>
  <c r="D34" i="54"/>
  <c r="D85" i="54"/>
  <c r="D56" i="54"/>
  <c r="D81" i="54"/>
  <c r="D72" i="54"/>
  <c r="D20" i="54"/>
  <c r="D74" i="54"/>
  <c r="D62" i="54"/>
  <c r="D61" i="54"/>
  <c r="D88" i="54"/>
  <c r="D79" i="54"/>
  <c r="D83" i="54"/>
  <c r="D36" i="54"/>
  <c r="D84" i="54"/>
  <c r="D39" i="54"/>
  <c r="D40" i="54"/>
  <c r="D90" i="54"/>
  <c r="D92" i="54"/>
  <c r="D89" i="54"/>
  <c r="D87" i="54"/>
  <c r="D70" i="54"/>
  <c r="D75" i="54"/>
  <c r="D77" i="54"/>
  <c r="D80" i="54"/>
  <c r="D46" i="54"/>
  <c r="D63" i="54"/>
  <c r="D47" i="54"/>
  <c r="D57" i="54"/>
  <c r="D91" i="54"/>
  <c r="D86" i="54"/>
  <c r="D32" i="54"/>
  <c r="D59" i="54"/>
  <c r="D65" i="54"/>
  <c r="D41" i="54"/>
  <c r="D23" i="54"/>
  <c r="D50" i="54"/>
  <c r="A91" i="54"/>
  <c r="A86" i="54"/>
  <c r="A32" i="54"/>
  <c r="A59" i="54"/>
  <c r="A65" i="54"/>
  <c r="A41" i="54"/>
  <c r="A23" i="54"/>
  <c r="A50" i="54"/>
  <c r="A24" i="54"/>
  <c r="A45" i="54"/>
  <c r="A27" i="54"/>
  <c r="A42" i="54"/>
  <c r="A38" i="54"/>
  <c r="A15" i="54"/>
  <c r="A30" i="54"/>
  <c r="A25" i="54"/>
  <c r="A44" i="54"/>
  <c r="A19" i="54"/>
  <c r="A18" i="54"/>
  <c r="A54" i="54"/>
  <c r="A52" i="54"/>
  <c r="A55" i="54"/>
  <c r="A49" i="54"/>
  <c r="A48" i="54"/>
  <c r="A64" i="54"/>
  <c r="A16" i="54"/>
  <c r="A31" i="54"/>
  <c r="A67" i="54"/>
  <c r="A58" i="54"/>
  <c r="A71" i="54"/>
  <c r="A28" i="54"/>
  <c r="A33" i="54"/>
  <c r="A43" i="54"/>
  <c r="A37" i="54"/>
  <c r="A10" i="54"/>
  <c r="A35" i="54"/>
  <c r="A51" i="54"/>
  <c r="A73" i="54"/>
  <c r="A68" i="54"/>
  <c r="A12" i="54"/>
  <c r="A22" i="54"/>
  <c r="A11" i="54"/>
  <c r="A26" i="54"/>
  <c r="A13" i="54"/>
  <c r="A29" i="54"/>
  <c r="A76" i="54"/>
  <c r="A78" i="54"/>
  <c r="A21" i="54"/>
  <c r="A66" i="54"/>
  <c r="A69" i="54"/>
  <c r="A9" i="54"/>
  <c r="A8" i="54"/>
  <c r="A34" i="54"/>
  <c r="A85" i="54"/>
  <c r="A56" i="54"/>
  <c r="A81" i="54"/>
  <c r="A72" i="54"/>
  <c r="A20" i="54"/>
  <c r="A74" i="54"/>
  <c r="A62" i="54"/>
  <c r="A61" i="54"/>
  <c r="A88" i="54"/>
  <c r="A79" i="54"/>
  <c r="A83" i="54"/>
  <c r="A36" i="54"/>
  <c r="A84" i="54"/>
  <c r="A39" i="54"/>
  <c r="A40" i="54"/>
  <c r="A90" i="54"/>
  <c r="A92" i="54"/>
  <c r="A89" i="54"/>
  <c r="A87" i="54"/>
  <c r="A70" i="54"/>
  <c r="A75" i="54"/>
  <c r="A77" i="54"/>
  <c r="A80" i="54"/>
  <c r="A46" i="54"/>
  <c r="A63" i="54"/>
  <c r="A47" i="54"/>
  <c r="A57" i="54"/>
  <c r="A17" i="54"/>
  <c r="A14" i="54"/>
  <c r="A82" i="54"/>
  <c r="A60" i="54"/>
  <c r="E24" i="89" l="1"/>
  <c r="B10" i="29"/>
  <c r="B8" i="4" s="1"/>
  <c r="A10" i="29"/>
  <c r="A8" i="4" s="1"/>
  <c r="R13" i="38"/>
  <c r="T12" i="38" s="1"/>
  <c r="U12" i="38" s="1"/>
  <c r="F13" i="34" s="1"/>
  <c r="S12" i="38"/>
  <c r="S9" i="38"/>
  <c r="B12" i="38"/>
  <c r="A12" i="38"/>
  <c r="L24" i="89"/>
  <c r="L25" i="89"/>
  <c r="L26" i="89"/>
  <c r="J6" i="89"/>
  <c r="L6" i="89" s="1"/>
  <c r="L9" i="89" s="1"/>
  <c r="L31" i="89"/>
  <c r="L22" i="89"/>
  <c r="L15" i="89"/>
  <c r="L16" i="89" s="1"/>
  <c r="O10" i="38"/>
  <c r="R10" i="38" s="1"/>
  <c r="T9" i="38" s="1"/>
  <c r="U9" i="38" s="1"/>
  <c r="F12" i="34" s="1"/>
  <c r="B9" i="38"/>
  <c r="A9" i="38"/>
  <c r="B8" i="38"/>
  <c r="A8" i="38"/>
  <c r="A16" i="38"/>
  <c r="L12" i="88"/>
  <c r="L11" i="88"/>
  <c r="L20" i="88"/>
  <c r="L22" i="88" s="1"/>
  <c r="L31" i="88"/>
  <c r="L27" i="88"/>
  <c r="L9" i="88"/>
  <c r="L98" i="34"/>
  <c r="D131" i="38"/>
  <c r="E131" i="38" s="1"/>
  <c r="R131" i="38" s="1"/>
  <c r="L20" i="82"/>
  <c r="E22" i="87"/>
  <c r="E17" i="86"/>
  <c r="E19" i="86"/>
  <c r="L19" i="86" s="1"/>
  <c r="E18" i="86"/>
  <c r="L69" i="34"/>
  <c r="L27" i="89" l="1"/>
  <c r="L18" i="89"/>
  <c r="L15" i="88"/>
  <c r="L16" i="88" s="1"/>
  <c r="R40" i="38"/>
  <c r="D135" i="38"/>
  <c r="R135" i="38" s="1"/>
  <c r="A175" i="38"/>
  <c r="B175" i="38"/>
  <c r="S175" i="38"/>
  <c r="O176" i="38"/>
  <c r="R176" i="38" s="1"/>
  <c r="O177" i="38"/>
  <c r="R177" i="38" s="1"/>
  <c r="U20" i="4"/>
  <c r="V20" i="4" s="1"/>
  <c r="U18" i="4"/>
  <c r="V18" i="4" s="1"/>
  <c r="U16" i="4"/>
  <c r="V16" i="4" s="1"/>
  <c r="U14" i="4"/>
  <c r="V14" i="4" s="1"/>
  <c r="U12" i="4"/>
  <c r="V12" i="4" s="1"/>
  <c r="L18" i="86"/>
  <c r="B22" i="54"/>
  <c r="C22" i="54"/>
  <c r="E22" i="54"/>
  <c r="G22" i="54"/>
  <c r="E89" i="54"/>
  <c r="G89" i="54"/>
  <c r="B89" i="54"/>
  <c r="C89" i="54"/>
  <c r="B34" i="54"/>
  <c r="C34" i="54"/>
  <c r="E34" i="54"/>
  <c r="G34" i="54"/>
  <c r="B19" i="54"/>
  <c r="C19" i="54"/>
  <c r="E19" i="54"/>
  <c r="G19" i="54"/>
  <c r="B18" i="54"/>
  <c r="C18" i="54"/>
  <c r="E18" i="54"/>
  <c r="G18" i="54"/>
  <c r="B43" i="54"/>
  <c r="C43" i="54"/>
  <c r="E43" i="54"/>
  <c r="G43" i="54"/>
  <c r="B67" i="54"/>
  <c r="C67" i="54"/>
  <c r="E67" i="54"/>
  <c r="G67" i="54"/>
  <c r="B60" i="54"/>
  <c r="C60" i="54"/>
  <c r="E60" i="54"/>
  <c r="G60" i="54"/>
  <c r="B42" i="54"/>
  <c r="C42" i="54"/>
  <c r="E42" i="54"/>
  <c r="G42" i="54"/>
  <c r="B44" i="54"/>
  <c r="C44" i="54"/>
  <c r="E44" i="54"/>
  <c r="G44" i="54"/>
  <c r="B73" i="54"/>
  <c r="C73" i="54"/>
  <c r="E73" i="54"/>
  <c r="G73" i="54"/>
  <c r="B25" i="54"/>
  <c r="C25" i="54"/>
  <c r="E25" i="54"/>
  <c r="G25" i="54"/>
  <c r="B45" i="54"/>
  <c r="C45" i="54"/>
  <c r="E45" i="54"/>
  <c r="G45" i="54"/>
  <c r="B26" i="54"/>
  <c r="C26" i="54"/>
  <c r="E26" i="54"/>
  <c r="G26" i="54"/>
  <c r="B12" i="54"/>
  <c r="C12" i="54"/>
  <c r="E12" i="54"/>
  <c r="G12" i="54"/>
  <c r="B29" i="54"/>
  <c r="C29" i="54"/>
  <c r="E29" i="54"/>
  <c r="G29" i="54"/>
  <c r="B10" i="54"/>
  <c r="C10" i="54"/>
  <c r="E10" i="54"/>
  <c r="G10" i="54"/>
  <c r="B85" i="54"/>
  <c r="C85" i="54"/>
  <c r="E85" i="54"/>
  <c r="G85" i="54"/>
  <c r="B24" i="54"/>
  <c r="C24" i="54"/>
  <c r="E24" i="54"/>
  <c r="G24" i="54"/>
  <c r="B64" i="54"/>
  <c r="C64" i="54"/>
  <c r="E64" i="54"/>
  <c r="G64" i="54"/>
  <c r="B81" i="54"/>
  <c r="C81" i="54"/>
  <c r="E81" i="54"/>
  <c r="G81" i="54"/>
  <c r="B66" i="54"/>
  <c r="C66" i="54"/>
  <c r="E66" i="54"/>
  <c r="G66" i="54"/>
  <c r="B62" i="54"/>
  <c r="C62" i="54"/>
  <c r="E62" i="54"/>
  <c r="G62" i="54"/>
  <c r="B55" i="54"/>
  <c r="C55" i="54"/>
  <c r="E55" i="54"/>
  <c r="G55" i="54"/>
  <c r="B37" i="54"/>
  <c r="C37" i="54"/>
  <c r="E37" i="54"/>
  <c r="G37" i="54"/>
  <c r="B33" i="54"/>
  <c r="C33" i="54"/>
  <c r="E33" i="54"/>
  <c r="G33" i="54"/>
  <c r="B9" i="54"/>
  <c r="C9" i="54"/>
  <c r="E9" i="54"/>
  <c r="G9" i="54"/>
  <c r="B71" i="54"/>
  <c r="C71" i="54"/>
  <c r="E71" i="54"/>
  <c r="G71" i="54"/>
  <c r="B68" i="54"/>
  <c r="C68" i="54"/>
  <c r="E68" i="54"/>
  <c r="G68" i="54"/>
  <c r="B84" i="54"/>
  <c r="C84" i="54"/>
  <c r="E84" i="54"/>
  <c r="G84" i="54"/>
  <c r="B74" i="54"/>
  <c r="C74" i="54"/>
  <c r="E74" i="54"/>
  <c r="G74" i="54"/>
  <c r="B82" i="54"/>
  <c r="C82" i="54"/>
  <c r="E82" i="54"/>
  <c r="G82" i="54"/>
  <c r="B49" i="54"/>
  <c r="C49" i="54"/>
  <c r="E49" i="54"/>
  <c r="G49" i="54"/>
  <c r="B14" i="54"/>
  <c r="C14" i="54"/>
  <c r="E14" i="54"/>
  <c r="G14" i="54"/>
  <c r="B52" i="54"/>
  <c r="C52" i="54"/>
  <c r="E52" i="54"/>
  <c r="G52" i="54"/>
  <c r="B30" i="54"/>
  <c r="C30" i="54"/>
  <c r="E30" i="54"/>
  <c r="G30" i="54"/>
  <c r="B16" i="54"/>
  <c r="C16" i="54"/>
  <c r="E16" i="54"/>
  <c r="G16" i="54"/>
  <c r="B61" i="54"/>
  <c r="C61" i="54"/>
  <c r="E61" i="54"/>
  <c r="G61" i="54"/>
  <c r="B40" i="54"/>
  <c r="C40" i="54"/>
  <c r="E40" i="54"/>
  <c r="G40" i="54"/>
  <c r="B15" i="54"/>
  <c r="C15" i="54"/>
  <c r="E15" i="54"/>
  <c r="G15" i="54"/>
  <c r="B56" i="54"/>
  <c r="C56" i="54"/>
  <c r="E56" i="54"/>
  <c r="G56" i="54"/>
  <c r="B72" i="54"/>
  <c r="C72" i="54"/>
  <c r="E72" i="54"/>
  <c r="G72" i="54"/>
  <c r="B17" i="54"/>
  <c r="C17" i="54"/>
  <c r="E17" i="54"/>
  <c r="G17" i="54"/>
  <c r="B48" i="54"/>
  <c r="C48" i="54"/>
  <c r="E48" i="54"/>
  <c r="G48" i="54"/>
  <c r="B70" i="54"/>
  <c r="C70" i="54"/>
  <c r="E70" i="54"/>
  <c r="G70" i="54"/>
  <c r="B78" i="54"/>
  <c r="C78" i="54"/>
  <c r="E78" i="54"/>
  <c r="G78" i="54"/>
  <c r="B39" i="54"/>
  <c r="C39" i="54"/>
  <c r="E39" i="54"/>
  <c r="G39" i="54"/>
  <c r="B79" i="54"/>
  <c r="C79" i="54"/>
  <c r="E79" i="54"/>
  <c r="G79" i="54"/>
  <c r="B27" i="54"/>
  <c r="C27" i="54"/>
  <c r="E27" i="54"/>
  <c r="G27" i="54"/>
  <c r="B88" i="54"/>
  <c r="C88" i="54"/>
  <c r="E88" i="54"/>
  <c r="G88" i="54"/>
  <c r="B69" i="54"/>
  <c r="C69" i="54"/>
  <c r="E69" i="54"/>
  <c r="G69" i="54"/>
  <c r="B21" i="54"/>
  <c r="C21" i="54"/>
  <c r="E21" i="54"/>
  <c r="G21" i="54"/>
  <c r="B77" i="54"/>
  <c r="C77" i="54"/>
  <c r="E77" i="54"/>
  <c r="G77" i="54"/>
  <c r="B36" i="54"/>
  <c r="C36" i="54"/>
  <c r="E36" i="54"/>
  <c r="G36" i="54"/>
  <c r="B92" i="54"/>
  <c r="C92" i="54"/>
  <c r="E92" i="54"/>
  <c r="G92" i="54"/>
  <c r="B31" i="54"/>
  <c r="C31" i="54"/>
  <c r="E31" i="54"/>
  <c r="G31" i="54"/>
  <c r="B87" i="54"/>
  <c r="C87" i="54"/>
  <c r="E87" i="54"/>
  <c r="G87" i="54"/>
  <c r="B28" i="54"/>
  <c r="C28" i="54"/>
  <c r="E28" i="54"/>
  <c r="G28" i="54"/>
  <c r="B63" i="54"/>
  <c r="C63" i="54"/>
  <c r="E63" i="54"/>
  <c r="G63" i="54"/>
  <c r="B47" i="54"/>
  <c r="C47" i="54"/>
  <c r="E47" i="54"/>
  <c r="G47" i="54"/>
  <c r="B75" i="54"/>
  <c r="C75" i="54"/>
  <c r="E75" i="54"/>
  <c r="G75" i="54"/>
  <c r="B80" i="54"/>
  <c r="C80" i="54"/>
  <c r="E80" i="54"/>
  <c r="G80" i="54"/>
  <c r="B20" i="54"/>
  <c r="C20" i="54"/>
  <c r="E20" i="54"/>
  <c r="G20" i="54"/>
  <c r="B83" i="54"/>
  <c r="C83" i="54"/>
  <c r="E83" i="54"/>
  <c r="G83" i="54"/>
  <c r="B90" i="54"/>
  <c r="C90" i="54"/>
  <c r="E90" i="54"/>
  <c r="G90" i="54"/>
  <c r="B51" i="54"/>
  <c r="C51" i="54"/>
  <c r="E51" i="54"/>
  <c r="G51" i="54"/>
  <c r="B76" i="54"/>
  <c r="C76" i="54"/>
  <c r="E76" i="54"/>
  <c r="G76" i="54"/>
  <c r="B35" i="54"/>
  <c r="C35" i="54"/>
  <c r="E35" i="54"/>
  <c r="G35" i="54"/>
  <c r="B13" i="54"/>
  <c r="C13" i="54"/>
  <c r="E13" i="54"/>
  <c r="G13" i="54"/>
  <c r="B57" i="54"/>
  <c r="C57" i="54"/>
  <c r="E57" i="54"/>
  <c r="G57" i="54"/>
  <c r="B46" i="54"/>
  <c r="C46" i="54"/>
  <c r="E46" i="54"/>
  <c r="G46" i="54"/>
  <c r="B38" i="54"/>
  <c r="C38" i="54"/>
  <c r="E38" i="54"/>
  <c r="F38" i="54"/>
  <c r="G38" i="54"/>
  <c r="H38" i="54"/>
  <c r="B8" i="54"/>
  <c r="C8" i="54"/>
  <c r="E8" i="54"/>
  <c r="G8" i="54"/>
  <c r="B58" i="54"/>
  <c r="C58" i="54"/>
  <c r="E58" i="54"/>
  <c r="G58" i="54"/>
  <c r="B54" i="54"/>
  <c r="C54" i="54"/>
  <c r="E54" i="54"/>
  <c r="G54" i="54"/>
  <c r="B11" i="54"/>
  <c r="C11" i="54"/>
  <c r="E11" i="54"/>
  <c r="G11" i="54"/>
  <c r="L22" i="87"/>
  <c r="P97" i="38"/>
  <c r="R97" i="38" s="1"/>
  <c r="P98" i="38"/>
  <c r="R98" i="38" s="1"/>
  <c r="R116" i="38"/>
  <c r="B115" i="38"/>
  <c r="A115" i="38"/>
  <c r="L43" i="34"/>
  <c r="L7" i="76"/>
  <c r="B20" i="29"/>
  <c r="B18" i="4" s="1"/>
  <c r="B18" i="29"/>
  <c r="B16" i="4" s="1"/>
  <c r="A20" i="29"/>
  <c r="A18" i="4" s="1"/>
  <c r="A18" i="29"/>
  <c r="A16" i="4" s="1"/>
  <c r="R163" i="38"/>
  <c r="L134" i="38"/>
  <c r="R104" i="38"/>
  <c r="R101" i="38"/>
  <c r="T100" i="38" s="1"/>
  <c r="R301" i="38"/>
  <c r="O298" i="38"/>
  <c r="R298" i="38" s="1"/>
  <c r="G297" i="38"/>
  <c r="O297" i="38" s="1"/>
  <c r="R297" i="38" s="1"/>
  <c r="G296" i="38"/>
  <c r="O296" i="38" s="1"/>
  <c r="R296" i="38" s="1"/>
  <c r="O291" i="38"/>
  <c r="R291" i="38" s="1"/>
  <c r="P278" i="38"/>
  <c r="R278" i="38" s="1"/>
  <c r="T277" i="38" s="1"/>
  <c r="P275" i="38"/>
  <c r="R275" i="38" s="1"/>
  <c r="T274" i="38" s="1"/>
  <c r="P272" i="38"/>
  <c r="R272" i="38" s="1"/>
  <c r="T271" i="38" s="1"/>
  <c r="P269" i="38"/>
  <c r="R269" i="38" s="1"/>
  <c r="T268" i="38" s="1"/>
  <c r="R266" i="38"/>
  <c r="T265" i="38" s="1"/>
  <c r="R260" i="38"/>
  <c r="O158" i="38"/>
  <c r="R158" i="38" s="1"/>
  <c r="O157" i="38"/>
  <c r="E165" i="38"/>
  <c r="R165" i="38" s="1"/>
  <c r="P169" i="38"/>
  <c r="R169" i="38" s="1"/>
  <c r="P173" i="38"/>
  <c r="P172" i="38"/>
  <c r="R164" i="38"/>
  <c r="O155" i="38"/>
  <c r="O152" i="38"/>
  <c r="O151" i="38"/>
  <c r="P144" i="38"/>
  <c r="R144" i="38" s="1"/>
  <c r="T143" i="38" s="1"/>
  <c r="E130" i="38"/>
  <c r="R130" i="38" s="1"/>
  <c r="T129" i="38" s="1"/>
  <c r="O127" i="38"/>
  <c r="P127" i="38" s="1"/>
  <c r="P124" i="38"/>
  <c r="R124" i="38" s="1"/>
  <c r="P123" i="38"/>
  <c r="R123" i="38" s="1"/>
  <c r="F113" i="38"/>
  <c r="O113" i="38" s="1"/>
  <c r="R113" i="38" s="1"/>
  <c r="O108" i="38"/>
  <c r="R108" i="38" s="1"/>
  <c r="O94" i="38"/>
  <c r="O87" i="38"/>
  <c r="E29" i="86"/>
  <c r="L29" i="86" s="1"/>
  <c r="G33" i="86"/>
  <c r="L33" i="86" s="1"/>
  <c r="E11" i="86"/>
  <c r="E10" i="86"/>
  <c r="L10" i="86" s="1"/>
  <c r="E9" i="86"/>
  <c r="E8" i="86"/>
  <c r="R198" i="38"/>
  <c r="T197" i="38" s="1"/>
  <c r="O206" i="38"/>
  <c r="R206" i="38" s="1"/>
  <c r="T205" i="38" s="1"/>
  <c r="P203" i="38"/>
  <c r="R203" i="38" s="1"/>
  <c r="P202" i="38"/>
  <c r="R202" i="38" s="1"/>
  <c r="S300" i="38"/>
  <c r="B300" i="38"/>
  <c r="A300" i="38"/>
  <c r="L87" i="34"/>
  <c r="L88" i="34"/>
  <c r="L89" i="34"/>
  <c r="L90" i="34"/>
  <c r="L92" i="34"/>
  <c r="L95" i="34"/>
  <c r="L84" i="34"/>
  <c r="L81" i="34"/>
  <c r="L80" i="34"/>
  <c r="L79" i="34"/>
  <c r="L76" i="34"/>
  <c r="L73" i="34"/>
  <c r="L72" i="34"/>
  <c r="L71" i="34"/>
  <c r="L70" i="34"/>
  <c r="L65" i="34"/>
  <c r="L61" i="34"/>
  <c r="L60" i="34"/>
  <c r="L57" i="34"/>
  <c r="L56" i="34"/>
  <c r="L55" i="34"/>
  <c r="L42" i="34"/>
  <c r="P168" i="38"/>
  <c r="R168" i="38" s="1"/>
  <c r="R295" i="38"/>
  <c r="O292" i="38"/>
  <c r="R292" i="38" s="1"/>
  <c r="R290" i="38"/>
  <c r="R287" i="38"/>
  <c r="R284" i="38"/>
  <c r="P281" i="38"/>
  <c r="R281" i="38" s="1"/>
  <c r="R263" i="38"/>
  <c r="T262" i="38" s="1"/>
  <c r="S294" i="38"/>
  <c r="S289" i="38"/>
  <c r="S286" i="38"/>
  <c r="S283" i="38"/>
  <c r="S280" i="38"/>
  <c r="S277" i="38"/>
  <c r="S274" i="38"/>
  <c r="S271" i="38"/>
  <c r="S268" i="38"/>
  <c r="S265" i="38"/>
  <c r="S262" i="38"/>
  <c r="S259" i="38"/>
  <c r="B294" i="38"/>
  <c r="L6" i="87"/>
  <c r="L7" i="87"/>
  <c r="L8" i="87"/>
  <c r="C12" i="87"/>
  <c r="D12" i="87"/>
  <c r="L12" i="87"/>
  <c r="D13" i="87"/>
  <c r="L13" i="87"/>
  <c r="L14" i="87"/>
  <c r="E21" i="87"/>
  <c r="L21" i="87" s="1"/>
  <c r="L25" i="87"/>
  <c r="L26" i="87"/>
  <c r="L27" i="87"/>
  <c r="L31" i="87"/>
  <c r="L32" i="87" s="1"/>
  <c r="A294" i="38"/>
  <c r="B289" i="38"/>
  <c r="A289" i="38"/>
  <c r="B286" i="38"/>
  <c r="A286" i="38"/>
  <c r="B283" i="38"/>
  <c r="A283" i="38"/>
  <c r="B280" i="38"/>
  <c r="A280" i="38"/>
  <c r="B277" i="38"/>
  <c r="A277" i="38"/>
  <c r="B274" i="38"/>
  <c r="A274" i="38"/>
  <c r="B271" i="38"/>
  <c r="A271" i="38"/>
  <c r="B268" i="38"/>
  <c r="A268" i="38"/>
  <c r="B265" i="38"/>
  <c r="A265" i="38"/>
  <c r="B262" i="38"/>
  <c r="A262" i="38"/>
  <c r="B259" i="38"/>
  <c r="A259" i="38"/>
  <c r="B258" i="38"/>
  <c r="A258" i="38"/>
  <c r="L32" i="89" l="1"/>
  <c r="T201" i="38"/>
  <c r="T289" i="38"/>
  <c r="U289" i="38" s="1"/>
  <c r="F96" i="34" s="1"/>
  <c r="T122" i="38"/>
  <c r="T259" i="38"/>
  <c r="U259" i="38" s="1"/>
  <c r="F86" i="34" s="1"/>
  <c r="F63" i="54" s="1"/>
  <c r="T175" i="38"/>
  <c r="U175" i="38" s="1"/>
  <c r="T286" i="38"/>
  <c r="U286" i="38" s="1"/>
  <c r="F95" i="34" s="1"/>
  <c r="F76" i="54" s="1"/>
  <c r="T115" i="38"/>
  <c r="U115" i="38" s="1"/>
  <c r="F43" i="34" s="1"/>
  <c r="T294" i="38"/>
  <c r="U294" i="38" s="1"/>
  <c r="F97" i="34" s="1"/>
  <c r="T300" i="38"/>
  <c r="U300" i="38" s="1"/>
  <c r="F98" i="34" s="1"/>
  <c r="F57" i="54" s="1"/>
  <c r="T280" i="38"/>
  <c r="U280" i="38" s="1"/>
  <c r="F93" i="34" s="1"/>
  <c r="F90" i="54" s="1"/>
  <c r="T283" i="38"/>
  <c r="U283" i="38" s="1"/>
  <c r="L18" i="88"/>
  <c r="L32" i="88" s="1"/>
  <c r="L28" i="87"/>
  <c r="L33" i="87" s="1"/>
  <c r="L23" i="87"/>
  <c r="L10" i="87"/>
  <c r="L16" i="87"/>
  <c r="L17" i="87" s="1"/>
  <c r="U271" i="38"/>
  <c r="F90" i="34" s="1"/>
  <c r="U268" i="38"/>
  <c r="F89" i="34" s="1"/>
  <c r="U274" i="38"/>
  <c r="F91" i="34" s="1"/>
  <c r="F83" i="54" s="1"/>
  <c r="U265" i="38"/>
  <c r="F88" i="34" s="1"/>
  <c r="U277" i="38"/>
  <c r="F92" i="34" s="1"/>
  <c r="U262" i="38"/>
  <c r="F87" i="34" s="1"/>
  <c r="L33" i="89" l="1"/>
  <c r="L34" i="89" s="1"/>
  <c r="L13" i="34"/>
  <c r="F94" i="34"/>
  <c r="F51" i="54" s="1"/>
  <c r="L34" i="87"/>
  <c r="L35" i="87" s="1"/>
  <c r="L66" i="34"/>
  <c r="L86" i="34"/>
  <c r="L19" i="87"/>
  <c r="F35" i="54"/>
  <c r="F80" i="54"/>
  <c r="F13" i="54"/>
  <c r="F47" i="54"/>
  <c r="F20" i="54"/>
  <c r="F75" i="54"/>
  <c r="P96" i="38" l="1"/>
  <c r="R96" i="38" s="1"/>
  <c r="B197" i="38"/>
  <c r="L8" i="86" l="1"/>
  <c r="L11" i="86"/>
  <c r="L17" i="86"/>
  <c r="L20" i="86"/>
  <c r="L21" i="86"/>
  <c r="L22" i="86"/>
  <c r="L28" i="86"/>
  <c r="L23" i="86"/>
  <c r="E26" i="86"/>
  <c r="L26" i="86" s="1"/>
  <c r="L27" i="86"/>
  <c r="R312" i="38"/>
  <c r="T311" i="38" s="1"/>
  <c r="R309" i="38"/>
  <c r="T308" i="38" s="1"/>
  <c r="R306" i="38"/>
  <c r="T305" i="38" s="1"/>
  <c r="L30" i="86" l="1"/>
  <c r="L24" i="86"/>
  <c r="L9" i="86"/>
  <c r="L12" i="86" s="1"/>
  <c r="L34" i="86"/>
  <c r="L13" i="86" l="1"/>
  <c r="L15" i="86" l="1"/>
  <c r="L35" i="86" s="1"/>
  <c r="S335" i="38"/>
  <c r="S332" i="38"/>
  <c r="S331" i="38"/>
  <c r="C336" i="38"/>
  <c r="S336" i="38" s="1"/>
  <c r="C334" i="38"/>
  <c r="S334" i="38" s="1"/>
  <c r="C333" i="38"/>
  <c r="S333" i="38" s="1"/>
  <c r="R48" i="38"/>
  <c r="R44" i="38"/>
  <c r="R328" i="38"/>
  <c r="T327" i="38" s="1"/>
  <c r="R325" i="38"/>
  <c r="T324" i="38" s="1"/>
  <c r="R322" i="38"/>
  <c r="T321" i="38" s="1"/>
  <c r="R319" i="38"/>
  <c r="T318" i="38" s="1"/>
  <c r="L36" i="86" l="1"/>
  <c r="L37" i="86" s="1"/>
  <c r="L67" i="34"/>
  <c r="T337" i="38"/>
  <c r="P79" i="38"/>
  <c r="R79" i="38" s="1"/>
  <c r="T78" i="38" s="1"/>
  <c r="K76" i="38"/>
  <c r="O76" i="38" s="1"/>
  <c r="R76" i="38" s="1"/>
  <c r="K75" i="38"/>
  <c r="O75" i="38" s="1"/>
  <c r="R75" i="38" s="1"/>
  <c r="R72" i="38"/>
  <c r="T71" i="38" s="1"/>
  <c r="R69" i="38"/>
  <c r="T68" i="38" s="1"/>
  <c r="R66" i="38"/>
  <c r="T65" i="38" s="1"/>
  <c r="R63" i="38"/>
  <c r="T62" i="38" s="1"/>
  <c r="R60" i="38"/>
  <c r="T59" i="38" s="1"/>
  <c r="T74" i="38" l="1"/>
  <c r="T56" i="38"/>
  <c r="T53" i="38"/>
  <c r="R51" i="38"/>
  <c r="R47" i="38"/>
  <c r="T46" i="38" s="1"/>
  <c r="R41" i="38"/>
  <c r="R42" i="38"/>
  <c r="R43" i="38"/>
  <c r="R39" i="38"/>
  <c r="R36" i="38"/>
  <c r="T35" i="38" s="1"/>
  <c r="R33" i="38"/>
  <c r="T32" i="38" s="1"/>
  <c r="R30" i="38"/>
  <c r="T29" i="38" s="1"/>
  <c r="R27" i="38"/>
  <c r="T26" i="38" s="1"/>
  <c r="R24" i="38"/>
  <c r="R23" i="38"/>
  <c r="O20" i="38"/>
  <c r="R20" i="38" s="1"/>
  <c r="T19" i="38" s="1"/>
  <c r="O17" i="38"/>
  <c r="R17" i="38" s="1"/>
  <c r="T16" i="38" s="1"/>
  <c r="S46" i="38"/>
  <c r="B50" i="38"/>
  <c r="A50" i="38"/>
  <c r="P215" i="38"/>
  <c r="S214" i="38"/>
  <c r="S211" i="38"/>
  <c r="O212" i="38"/>
  <c r="B214" i="38"/>
  <c r="B211" i="38"/>
  <c r="A214" i="38"/>
  <c r="A211" i="38"/>
  <c r="T22" i="38" l="1"/>
  <c r="T38" i="38"/>
  <c r="T50" i="38"/>
  <c r="U50" i="38" s="1"/>
  <c r="F44" i="54" s="1"/>
  <c r="O256" i="38"/>
  <c r="R256" i="38" s="1"/>
  <c r="O255" i="38"/>
  <c r="R255" i="38" s="1"/>
  <c r="O235" i="38"/>
  <c r="R235" i="38" s="1"/>
  <c r="O234" i="38"/>
  <c r="R234" i="38" s="1"/>
  <c r="O249" i="38"/>
  <c r="R249" i="38" s="1"/>
  <c r="O248" i="38"/>
  <c r="R248" i="38" s="1"/>
  <c r="A254" i="38"/>
  <c r="O245" i="38"/>
  <c r="R245" i="38" s="1"/>
  <c r="O244" i="38"/>
  <c r="R244" i="38" s="1"/>
  <c r="O231" i="38"/>
  <c r="R231" i="38" s="1"/>
  <c r="O230" i="38"/>
  <c r="R230" i="38" s="1"/>
  <c r="O227" i="38"/>
  <c r="R227" i="38" s="1"/>
  <c r="O226" i="38"/>
  <c r="R226" i="38" s="1"/>
  <c r="O223" i="38"/>
  <c r="R223" i="38" s="1"/>
  <c r="O222" i="38"/>
  <c r="R222" i="38" s="1"/>
  <c r="O209" i="38"/>
  <c r="O219" i="38"/>
  <c r="R219" i="38" s="1"/>
  <c r="O218" i="38"/>
  <c r="R218" i="38" s="1"/>
  <c r="F195" i="38"/>
  <c r="R195" i="38" s="1"/>
  <c r="T194" i="38" s="1"/>
  <c r="F192" i="38"/>
  <c r="R192" i="38" s="1"/>
  <c r="T191" i="38" s="1"/>
  <c r="R183" i="38"/>
  <c r="T182" i="38" s="1"/>
  <c r="R162" i="38"/>
  <c r="R161" i="38"/>
  <c r="R180" i="38"/>
  <c r="T179" i="38" s="1"/>
  <c r="R173" i="38"/>
  <c r="R172" i="38"/>
  <c r="P167" i="38"/>
  <c r="R167" i="38" s="1"/>
  <c r="T166" i="38" s="1"/>
  <c r="O156" i="38"/>
  <c r="R156" i="38" s="1"/>
  <c r="R157" i="38"/>
  <c r="R155" i="38"/>
  <c r="R152" i="38"/>
  <c r="D189" i="38"/>
  <c r="R189" i="38" s="1"/>
  <c r="T188" i="38" s="1"/>
  <c r="R186" i="38"/>
  <c r="T185" i="38" s="1"/>
  <c r="R151" i="38"/>
  <c r="Q141" i="38"/>
  <c r="P141" i="38"/>
  <c r="D138" i="38"/>
  <c r="R138" i="38" s="1"/>
  <c r="D134" i="38"/>
  <c r="R134" i="38" s="1"/>
  <c r="T133" i="38" s="1"/>
  <c r="R127" i="38"/>
  <c r="T126" i="38" s="1"/>
  <c r="B121" i="38"/>
  <c r="O112" i="38"/>
  <c r="R112" i="38" s="1"/>
  <c r="T111" i="38" s="1"/>
  <c r="F109" i="38"/>
  <c r="O109" i="38" s="1"/>
  <c r="R109" i="38" s="1"/>
  <c r="T107" i="38" s="1"/>
  <c r="D91" i="38"/>
  <c r="D90" i="38"/>
  <c r="O91" i="38"/>
  <c r="O90" i="38"/>
  <c r="B15" i="38"/>
  <c r="F89" i="38"/>
  <c r="P89" i="38" s="1"/>
  <c r="O88" i="38"/>
  <c r="D88" i="38"/>
  <c r="F87" i="38"/>
  <c r="P87" i="38" s="1"/>
  <c r="A93" i="38"/>
  <c r="L105" i="38"/>
  <c r="R105" i="38" s="1"/>
  <c r="T103" i="38" s="1"/>
  <c r="P95" i="38"/>
  <c r="R95" i="38" s="1"/>
  <c r="F94" i="38"/>
  <c r="P94" i="38" s="1"/>
  <c r="R94" i="38" s="1"/>
  <c r="U327" i="38"/>
  <c r="F109" i="34" s="1"/>
  <c r="F11" i="54" s="1"/>
  <c r="U321" i="38"/>
  <c r="F107" i="34" s="1"/>
  <c r="F58" i="54" s="1"/>
  <c r="U318" i="38"/>
  <c r="F106" i="34" s="1"/>
  <c r="F8" i="54" s="1"/>
  <c r="U311" i="38"/>
  <c r="F103" i="34" s="1"/>
  <c r="U308" i="38"/>
  <c r="F102" i="34" s="1"/>
  <c r="U78" i="38"/>
  <c r="F33" i="34" s="1"/>
  <c r="F85" i="54" s="1"/>
  <c r="U74" i="38"/>
  <c r="F32" i="34" s="1"/>
  <c r="F10" i="54" s="1"/>
  <c r="U71" i="38"/>
  <c r="F31" i="34" s="1"/>
  <c r="U68" i="38"/>
  <c r="F30" i="34" s="1"/>
  <c r="F29" i="54" s="1"/>
  <c r="U65" i="38"/>
  <c r="F29" i="34" s="1"/>
  <c r="F12" i="54" s="1"/>
  <c r="U62" i="38"/>
  <c r="F28" i="34" s="1"/>
  <c r="F26" i="54" s="1"/>
  <c r="A331" i="38"/>
  <c r="B330" i="38"/>
  <c r="A330" i="38"/>
  <c r="S327" i="38"/>
  <c r="S324" i="38"/>
  <c r="S321" i="38"/>
  <c r="S318" i="38"/>
  <c r="S311" i="38"/>
  <c r="S308" i="38"/>
  <c r="S305" i="38"/>
  <c r="B327" i="38"/>
  <c r="B324" i="38"/>
  <c r="B321" i="38"/>
  <c r="B318" i="38"/>
  <c r="A327" i="38"/>
  <c r="A324" i="38"/>
  <c r="A321" i="38"/>
  <c r="A318" i="38"/>
  <c r="B311" i="38"/>
  <c r="B308" i="38"/>
  <c r="B305" i="38"/>
  <c r="A311" i="38"/>
  <c r="A308" i="38"/>
  <c r="A305" i="38"/>
  <c r="B317" i="38"/>
  <c r="A317" i="38"/>
  <c r="U324" i="38"/>
  <c r="F108" i="34" s="1"/>
  <c r="F54" i="54" s="1"/>
  <c r="U305" i="38"/>
  <c r="F101" i="34" s="1"/>
  <c r="F46" i="54" s="1"/>
  <c r="B304" i="38"/>
  <c r="A304" i="38"/>
  <c r="B303" i="38"/>
  <c r="A303" i="38"/>
  <c r="S254" i="38"/>
  <c r="S251" i="38"/>
  <c r="S247" i="38"/>
  <c r="S243" i="38"/>
  <c r="S240" i="38"/>
  <c r="S237" i="38"/>
  <c r="S233" i="38"/>
  <c r="S229" i="38"/>
  <c r="S225" i="38"/>
  <c r="S221" i="38"/>
  <c r="S217" i="38"/>
  <c r="S208" i="38"/>
  <c r="S205" i="38"/>
  <c r="S201" i="38"/>
  <c r="S197" i="38"/>
  <c r="S194" i="38"/>
  <c r="S191" i="38"/>
  <c r="S188" i="38"/>
  <c r="S185" i="38"/>
  <c r="S182" i="38"/>
  <c r="S179" i="38"/>
  <c r="S171" i="38"/>
  <c r="S166" i="38"/>
  <c r="S160" i="38"/>
  <c r="S154" i="38"/>
  <c r="S150" i="38"/>
  <c r="S143" i="38"/>
  <c r="B254" i="38"/>
  <c r="B251" i="38"/>
  <c r="B247" i="38"/>
  <c r="B243" i="38"/>
  <c r="B240" i="38"/>
  <c r="B237" i="38"/>
  <c r="B233" i="38"/>
  <c r="B229" i="38"/>
  <c r="B225" i="38"/>
  <c r="B221" i="38"/>
  <c r="B217" i="38"/>
  <c r="B208" i="38"/>
  <c r="B205" i="38"/>
  <c r="B201" i="38"/>
  <c r="L109" i="34"/>
  <c r="L108" i="34"/>
  <c r="L107" i="34"/>
  <c r="L106" i="34"/>
  <c r="L103" i="34"/>
  <c r="L102" i="34"/>
  <c r="L101" i="34"/>
  <c r="A251" i="38"/>
  <c r="A247" i="38"/>
  <c r="A243" i="38"/>
  <c r="A240" i="38"/>
  <c r="A237" i="38"/>
  <c r="A233" i="38"/>
  <c r="A229" i="38"/>
  <c r="A225" i="38"/>
  <c r="A221" i="38"/>
  <c r="A217" i="38"/>
  <c r="A208" i="38"/>
  <c r="A205" i="38"/>
  <c r="A201" i="38"/>
  <c r="B200" i="38"/>
  <c r="A200" i="38"/>
  <c r="A197" i="38"/>
  <c r="B194" i="38"/>
  <c r="B191" i="38"/>
  <c r="B188" i="38"/>
  <c r="B185" i="38"/>
  <c r="B182" i="38"/>
  <c r="B179" i="38"/>
  <c r="B171" i="38"/>
  <c r="B166" i="38"/>
  <c r="B160" i="38"/>
  <c r="B154" i="38"/>
  <c r="B150" i="38"/>
  <c r="A194" i="38"/>
  <c r="A191" i="38"/>
  <c r="A188" i="38"/>
  <c r="A185" i="38"/>
  <c r="A182" i="38"/>
  <c r="A179" i="38"/>
  <c r="A171" i="38"/>
  <c r="A166" i="38"/>
  <c r="A160" i="38"/>
  <c r="A154" i="38"/>
  <c r="A150" i="38"/>
  <c r="B149" i="38"/>
  <c r="A149" i="38"/>
  <c r="S140" i="38"/>
  <c r="S137" i="38"/>
  <c r="S133" i="38"/>
  <c r="S129" i="38"/>
  <c r="S126" i="38"/>
  <c r="S122" i="38"/>
  <c r="B143" i="38"/>
  <c r="B140" i="38"/>
  <c r="B137" i="38"/>
  <c r="B133" i="38"/>
  <c r="B129" i="38"/>
  <c r="B126" i="38"/>
  <c r="B122" i="38"/>
  <c r="A143" i="38"/>
  <c r="A140" i="38"/>
  <c r="A137" i="38"/>
  <c r="A133" i="38"/>
  <c r="A129" i="38"/>
  <c r="A126" i="38"/>
  <c r="A122" i="38"/>
  <c r="A121" i="38"/>
  <c r="A111" i="38"/>
  <c r="B111" i="38"/>
  <c r="S111" i="38"/>
  <c r="S107" i="38"/>
  <c r="S103" i="38"/>
  <c r="S100" i="38"/>
  <c r="S93" i="38"/>
  <c r="S86" i="38"/>
  <c r="B107" i="38"/>
  <c r="B103" i="38"/>
  <c r="B100" i="38"/>
  <c r="B93" i="38"/>
  <c r="A107" i="38"/>
  <c r="A103" i="38"/>
  <c r="A100" i="38"/>
  <c r="B86" i="38"/>
  <c r="A86" i="38"/>
  <c r="A85" i="38"/>
  <c r="B85" i="38"/>
  <c r="A84" i="38"/>
  <c r="B84" i="38"/>
  <c r="A3" i="38"/>
  <c r="B3" i="38"/>
  <c r="A4" i="38"/>
  <c r="B4" i="38"/>
  <c r="A6" i="38"/>
  <c r="B6" i="38"/>
  <c r="A15" i="38"/>
  <c r="B16" i="38"/>
  <c r="S16" i="38"/>
  <c r="A19" i="38"/>
  <c r="B19" i="38"/>
  <c r="S19" i="38"/>
  <c r="A22" i="38"/>
  <c r="B22" i="38"/>
  <c r="S22" i="38"/>
  <c r="A26" i="38"/>
  <c r="B26" i="38"/>
  <c r="S26" i="38"/>
  <c r="A29" i="38"/>
  <c r="B29" i="38"/>
  <c r="S29" i="38"/>
  <c r="A32" i="38"/>
  <c r="B32" i="38"/>
  <c r="S32" i="38"/>
  <c r="A35" i="38"/>
  <c r="B35" i="38"/>
  <c r="S35" i="38"/>
  <c r="A38" i="38"/>
  <c r="B38" i="38"/>
  <c r="S38" i="38"/>
  <c r="A46" i="38"/>
  <c r="B46" i="38"/>
  <c r="A53" i="38"/>
  <c r="B53" i="38"/>
  <c r="S53" i="38"/>
  <c r="A56" i="38"/>
  <c r="B56" i="38"/>
  <c r="S56" i="38"/>
  <c r="A59" i="38"/>
  <c r="B59" i="38"/>
  <c r="S59" i="38"/>
  <c r="A62" i="38"/>
  <c r="B62" i="38"/>
  <c r="S62" i="38"/>
  <c r="A65" i="38"/>
  <c r="B65" i="38"/>
  <c r="S65" i="38"/>
  <c r="A68" i="38"/>
  <c r="B68" i="38"/>
  <c r="S68" i="38"/>
  <c r="A71" i="38"/>
  <c r="B71" i="38"/>
  <c r="S71" i="38"/>
  <c r="A74" i="38"/>
  <c r="B74" i="38"/>
  <c r="S74" i="38"/>
  <c r="A78" i="38"/>
  <c r="B78" i="38"/>
  <c r="S78" i="38"/>
  <c r="B22" i="29"/>
  <c r="B20" i="4" s="1"/>
  <c r="B16" i="29"/>
  <c r="B14" i="4" s="1"/>
  <c r="B14" i="29"/>
  <c r="B12" i="29"/>
  <c r="A22" i="29"/>
  <c r="A16" i="29"/>
  <c r="A14" i="4" s="1"/>
  <c r="A14" i="29"/>
  <c r="A12" i="4" s="1"/>
  <c r="A12" i="29"/>
  <c r="L83" i="34"/>
  <c r="C2" i="82"/>
  <c r="L10" i="82"/>
  <c r="L13" i="82" s="1"/>
  <c r="L14" i="82" s="1"/>
  <c r="L18" i="82"/>
  <c r="L19" i="82"/>
  <c r="L27" i="82"/>
  <c r="L28" i="82" s="1"/>
  <c r="L52" i="34"/>
  <c r="R91" i="38" l="1"/>
  <c r="T233" i="38"/>
  <c r="R87" i="38"/>
  <c r="R89" i="38"/>
  <c r="T247" i="38"/>
  <c r="F252" i="38" s="1"/>
  <c r="R252" i="38" s="1"/>
  <c r="T251" i="38" s="1"/>
  <c r="T160" i="38"/>
  <c r="T93" i="38"/>
  <c r="T217" i="38"/>
  <c r="T254" i="38"/>
  <c r="T154" i="38"/>
  <c r="T225" i="38"/>
  <c r="T229" i="38"/>
  <c r="T243" i="38"/>
  <c r="T150" i="38"/>
  <c r="T171" i="38"/>
  <c r="T137" i="38"/>
  <c r="D141" i="38" s="1"/>
  <c r="R141" i="38" s="1"/>
  <c r="T221" i="38"/>
  <c r="L24" i="82"/>
  <c r="R90" i="38"/>
  <c r="L21" i="82"/>
  <c r="L29" i="82" s="1"/>
  <c r="L8" i="82"/>
  <c r="L16" i="82" s="1"/>
  <c r="R209" i="38"/>
  <c r="T208" i="38" s="1"/>
  <c r="E238" i="38"/>
  <c r="R238" i="38" s="1"/>
  <c r="P88" i="38"/>
  <c r="S337" i="38"/>
  <c r="L47" i="34"/>
  <c r="L33" i="34"/>
  <c r="L32" i="34"/>
  <c r="L31" i="34"/>
  <c r="L30" i="34"/>
  <c r="L29" i="34"/>
  <c r="L28" i="34"/>
  <c r="L27" i="34"/>
  <c r="L26" i="34"/>
  <c r="L25" i="34"/>
  <c r="L23" i="34"/>
  <c r="L22" i="34"/>
  <c r="L21" i="34"/>
  <c r="L20" i="34"/>
  <c r="L19" i="34"/>
  <c r="L18" i="34"/>
  <c r="L17" i="34"/>
  <c r="L16" i="34"/>
  <c r="L15" i="34"/>
  <c r="L30" i="82" l="1"/>
  <c r="L31" i="82" s="1"/>
  <c r="L59" i="34"/>
  <c r="R88" i="38"/>
  <c r="T86" i="38" s="1"/>
  <c r="T140" i="38"/>
  <c r="U140" i="38" s="1"/>
  <c r="F51" i="34" s="1"/>
  <c r="F84" i="54" s="1"/>
  <c r="R241" i="38"/>
  <c r="T240" i="38" s="1"/>
  <c r="T237" i="38"/>
  <c r="D212" i="38"/>
  <c r="D215" i="38" l="1"/>
  <c r="R215" i="38" s="1"/>
  <c r="R212" i="38"/>
  <c r="U100" i="38"/>
  <c r="F39" i="34" s="1"/>
  <c r="U191" i="38"/>
  <c r="F65" i="34" s="1"/>
  <c r="F72" i="54" s="1"/>
  <c r="U93" i="38"/>
  <c r="F38" i="34" s="1"/>
  <c r="U107" i="38"/>
  <c r="F41" i="34" s="1"/>
  <c r="T211" i="38" l="1"/>
  <c r="U211" i="38" s="1"/>
  <c r="F72" i="34" s="1"/>
  <c r="F39" i="54" s="1"/>
  <c r="T214" i="38"/>
  <c r="U214" i="38" s="1"/>
  <c r="F73" i="34" s="1"/>
  <c r="F79" i="54" s="1"/>
  <c r="F62" i="54"/>
  <c r="F81" i="54"/>
  <c r="F64" i="54"/>
  <c r="U194" i="38"/>
  <c r="F66" i="34" s="1"/>
  <c r="U86" i="38"/>
  <c r="F37" i="34" s="1"/>
  <c r="U208" i="38"/>
  <c r="F71" i="34" s="1"/>
  <c r="U103" i="38"/>
  <c r="F40" i="34" s="1"/>
  <c r="U111" i="38"/>
  <c r="F42" i="34" s="1"/>
  <c r="U129" i="38"/>
  <c r="F48" i="34" s="1"/>
  <c r="U126" i="38"/>
  <c r="F47" i="34" s="1"/>
  <c r="U133" i="38"/>
  <c r="F49" i="34" s="1"/>
  <c r="U137" i="38"/>
  <c r="F50" i="34" s="1"/>
  <c r="U122" i="38"/>
  <c r="F46" i="34" s="1"/>
  <c r="U251" i="38"/>
  <c r="U229" i="38"/>
  <c r="C5" i="34"/>
  <c r="U247" i="38"/>
  <c r="B3" i="54"/>
  <c r="B4" i="54"/>
  <c r="N93" i="54"/>
  <c r="C2" i="76"/>
  <c r="L24" i="76"/>
  <c r="L25" i="76" s="1"/>
  <c r="L21" i="76"/>
  <c r="L17" i="76"/>
  <c r="L16" i="76"/>
  <c r="L9" i="76"/>
  <c r="L11" i="76" s="1"/>
  <c r="L12" i="76" s="1"/>
  <c r="B7" i="29"/>
  <c r="U10" i="4"/>
  <c r="V10" i="4" s="1"/>
  <c r="A10" i="4"/>
  <c r="B10" i="4"/>
  <c r="B12" i="4"/>
  <c r="A20" i="4"/>
  <c r="C6" i="34"/>
  <c r="A8" i="34"/>
  <c r="C8" i="34"/>
  <c r="A2" i="4"/>
  <c r="B2" i="4"/>
  <c r="A3" i="4"/>
  <c r="B3" i="4"/>
  <c r="A5" i="4"/>
  <c r="B5" i="4"/>
  <c r="W10" i="4"/>
  <c r="W12" i="4"/>
  <c r="W20" i="4"/>
  <c r="B4" i="53"/>
  <c r="B5" i="53"/>
  <c r="C19" i="53"/>
  <c r="C29" i="53"/>
  <c r="F8" i="34"/>
  <c r="K94" i="34" s="1"/>
  <c r="L94" i="34" s="1"/>
  <c r="J94" i="34" s="1"/>
  <c r="H94" i="34" s="1"/>
  <c r="I94" i="34" s="1"/>
  <c r="D6" i="54"/>
  <c r="K53" i="34" l="1"/>
  <c r="J53" i="34" s="1"/>
  <c r="H53" i="34" s="1"/>
  <c r="I53" i="34" s="1"/>
  <c r="K104" i="34"/>
  <c r="J104" i="34" s="1"/>
  <c r="H104" i="34" s="1"/>
  <c r="I104" i="34" s="1"/>
  <c r="I53" i="54" s="1"/>
  <c r="K34" i="34"/>
  <c r="J34" i="34" s="1"/>
  <c r="H34" i="34" s="1"/>
  <c r="I34" i="34" s="1"/>
  <c r="K44" i="34"/>
  <c r="J44" i="34" s="1"/>
  <c r="H44" i="34" s="1"/>
  <c r="I44" i="34" s="1"/>
  <c r="K13" i="34"/>
  <c r="J13" i="34" s="1"/>
  <c r="H13" i="34" s="1"/>
  <c r="I13" i="34" s="1"/>
  <c r="K12" i="34"/>
  <c r="J12" i="34" s="1"/>
  <c r="H12" i="34" s="1"/>
  <c r="I12" i="34" s="1"/>
  <c r="I17" i="54" s="1"/>
  <c r="L18" i="76"/>
  <c r="K16" i="34"/>
  <c r="J16" i="34" s="1"/>
  <c r="H16" i="34" s="1"/>
  <c r="H34" i="54" s="1"/>
  <c r="K20" i="34"/>
  <c r="J20" i="34" s="1"/>
  <c r="H20" i="34" s="1"/>
  <c r="H43" i="54" s="1"/>
  <c r="K24" i="34"/>
  <c r="J24" i="34" s="1"/>
  <c r="H24" i="34" s="1"/>
  <c r="K28" i="34"/>
  <c r="J28" i="34" s="1"/>
  <c r="H28" i="34" s="1"/>
  <c r="K32" i="34"/>
  <c r="J32" i="34" s="1"/>
  <c r="H32" i="34" s="1"/>
  <c r="K37" i="34"/>
  <c r="J37" i="34" s="1"/>
  <c r="H37" i="34" s="1"/>
  <c r="H24" i="54" s="1"/>
  <c r="K41" i="34"/>
  <c r="J41" i="34" s="1"/>
  <c r="H41" i="34" s="1"/>
  <c r="K46" i="34"/>
  <c r="J46" i="34" s="1"/>
  <c r="H46" i="34" s="1"/>
  <c r="H37" i="54" s="1"/>
  <c r="K49" i="34"/>
  <c r="J49" i="34" s="1"/>
  <c r="H49" i="34" s="1"/>
  <c r="H71" i="54" s="1"/>
  <c r="K54" i="34"/>
  <c r="K58" i="34"/>
  <c r="K62" i="34"/>
  <c r="K66" i="34"/>
  <c r="J66" i="34" s="1"/>
  <c r="H66" i="34" s="1"/>
  <c r="I66" i="34" s="1"/>
  <c r="I9" i="54" s="1"/>
  <c r="K69" i="34"/>
  <c r="J69" i="34" s="1"/>
  <c r="H69" i="34" s="1"/>
  <c r="H48" i="54" s="1"/>
  <c r="K73" i="34"/>
  <c r="J73" i="34" s="1"/>
  <c r="H73" i="34" s="1"/>
  <c r="K77" i="34"/>
  <c r="J77" i="34" s="1"/>
  <c r="H77" i="34" s="1"/>
  <c r="H21" i="54" s="1"/>
  <c r="K81" i="34"/>
  <c r="J81" i="34" s="1"/>
  <c r="H81" i="34" s="1"/>
  <c r="H31" i="54" s="1"/>
  <c r="K85" i="34"/>
  <c r="K89" i="34"/>
  <c r="J89" i="34" s="1"/>
  <c r="H89" i="34" s="1"/>
  <c r="K93" i="34"/>
  <c r="J93" i="34" s="1"/>
  <c r="H93" i="34" s="1"/>
  <c r="K97" i="34"/>
  <c r="J97" i="34" s="1"/>
  <c r="H97" i="34" s="1"/>
  <c r="K101" i="34"/>
  <c r="J101" i="34" s="1"/>
  <c r="H101" i="34" s="1"/>
  <c r="K106" i="34"/>
  <c r="J106" i="34" s="1"/>
  <c r="H106" i="34" s="1"/>
  <c r="K15" i="34"/>
  <c r="K18" i="34"/>
  <c r="J18" i="34" s="1"/>
  <c r="H18" i="34" s="1"/>
  <c r="K30" i="34"/>
  <c r="J30" i="34" s="1"/>
  <c r="H30" i="34" s="1"/>
  <c r="K39" i="34"/>
  <c r="J39" i="34" s="1"/>
  <c r="H39" i="34" s="1"/>
  <c r="K48" i="34"/>
  <c r="J48" i="34" s="1"/>
  <c r="H48" i="34" s="1"/>
  <c r="K56" i="34"/>
  <c r="J56" i="34" s="1"/>
  <c r="H56" i="34" s="1"/>
  <c r="K64" i="34"/>
  <c r="J64" i="34" s="1"/>
  <c r="H64" i="34" s="1"/>
  <c r="K71" i="34"/>
  <c r="J71" i="34" s="1"/>
  <c r="H71" i="34" s="1"/>
  <c r="H78" i="54" s="1"/>
  <c r="K79" i="34"/>
  <c r="J79" i="34" s="1"/>
  <c r="H79" i="34" s="1"/>
  <c r="H36" i="54" s="1"/>
  <c r="K87" i="34"/>
  <c r="J87" i="34" s="1"/>
  <c r="H87" i="34" s="1"/>
  <c r="K95" i="34"/>
  <c r="J95" i="34" s="1"/>
  <c r="H95" i="34" s="1"/>
  <c r="K103" i="34"/>
  <c r="J103" i="34" s="1"/>
  <c r="H103" i="34" s="1"/>
  <c r="K23" i="34"/>
  <c r="J23" i="34" s="1"/>
  <c r="H23" i="34" s="1"/>
  <c r="H42" i="54" s="1"/>
  <c r="K27" i="34"/>
  <c r="J27" i="34" s="1"/>
  <c r="H27" i="34" s="1"/>
  <c r="H45" i="54" s="1"/>
  <c r="K36" i="34"/>
  <c r="K45" i="34"/>
  <c r="K52" i="34"/>
  <c r="J52" i="34" s="1"/>
  <c r="H52" i="34" s="1"/>
  <c r="H74" i="54" s="1"/>
  <c r="K61" i="34"/>
  <c r="J61" i="34" s="1"/>
  <c r="H61" i="34" s="1"/>
  <c r="K68" i="34"/>
  <c r="K76" i="34"/>
  <c r="J76" i="34" s="1"/>
  <c r="H76" i="34" s="1"/>
  <c r="H69" i="54" s="1"/>
  <c r="K84" i="34"/>
  <c r="J84" i="34" s="1"/>
  <c r="H84" i="34" s="1"/>
  <c r="H22" i="54" s="1"/>
  <c r="K92" i="34"/>
  <c r="J92" i="34" s="1"/>
  <c r="H92" i="34" s="1"/>
  <c r="K100" i="34"/>
  <c r="K109" i="34"/>
  <c r="J109" i="34" s="1"/>
  <c r="H109" i="34" s="1"/>
  <c r="K17" i="34"/>
  <c r="J17" i="34" s="1"/>
  <c r="H17" i="34" s="1"/>
  <c r="H19" i="54" s="1"/>
  <c r="K21" i="34"/>
  <c r="J21" i="34" s="1"/>
  <c r="H21" i="34" s="1"/>
  <c r="H67" i="54" s="1"/>
  <c r="K25" i="34"/>
  <c r="J25" i="34" s="1"/>
  <c r="H25" i="34" s="1"/>
  <c r="H73" i="54" s="1"/>
  <c r="K29" i="34"/>
  <c r="J29" i="34" s="1"/>
  <c r="H29" i="34" s="1"/>
  <c r="K33" i="34"/>
  <c r="J33" i="34" s="1"/>
  <c r="H33" i="34" s="1"/>
  <c r="K38" i="34"/>
  <c r="J38" i="34" s="1"/>
  <c r="H38" i="34" s="1"/>
  <c r="K42" i="34"/>
  <c r="J42" i="34" s="1"/>
  <c r="H42" i="34" s="1"/>
  <c r="H55" i="54" s="1"/>
  <c r="K47" i="34"/>
  <c r="J47" i="34" s="1"/>
  <c r="H47" i="34" s="1"/>
  <c r="H33" i="54" s="1"/>
  <c r="K50" i="34"/>
  <c r="J50" i="34" s="1"/>
  <c r="H50" i="34" s="1"/>
  <c r="H68" i="54" s="1"/>
  <c r="K55" i="34"/>
  <c r="J55" i="34" s="1"/>
  <c r="H55" i="34" s="1"/>
  <c r="H82" i="54" s="1"/>
  <c r="K59" i="34"/>
  <c r="J59" i="34" s="1"/>
  <c r="H59" i="34" s="1"/>
  <c r="K63" i="34"/>
  <c r="J63" i="34" s="1"/>
  <c r="H63" i="34" s="1"/>
  <c r="K70" i="34"/>
  <c r="J70" i="34" s="1"/>
  <c r="H70" i="34" s="1"/>
  <c r="H70" i="54" s="1"/>
  <c r="K74" i="34"/>
  <c r="J74" i="34" s="1"/>
  <c r="H74" i="34" s="1"/>
  <c r="H27" i="54" s="1"/>
  <c r="K78" i="34"/>
  <c r="J78" i="34" s="1"/>
  <c r="H78" i="34" s="1"/>
  <c r="H77" i="54" s="1"/>
  <c r="K82" i="34"/>
  <c r="J82" i="34" s="1"/>
  <c r="H82" i="34" s="1"/>
  <c r="H87" i="54" s="1"/>
  <c r="K86" i="34"/>
  <c r="J86" i="34" s="1"/>
  <c r="H86" i="34" s="1"/>
  <c r="K90" i="34"/>
  <c r="J90" i="34" s="1"/>
  <c r="H90" i="34" s="1"/>
  <c r="K98" i="34"/>
  <c r="J98" i="34" s="1"/>
  <c r="H98" i="34" s="1"/>
  <c r="K102" i="34"/>
  <c r="J102" i="34" s="1"/>
  <c r="H102" i="34" s="1"/>
  <c r="K107" i="34"/>
  <c r="J107" i="34" s="1"/>
  <c r="H107" i="34" s="1"/>
  <c r="K22" i="34"/>
  <c r="J22" i="34" s="1"/>
  <c r="H22" i="34" s="1"/>
  <c r="H60" i="54" s="1"/>
  <c r="K26" i="34"/>
  <c r="J26" i="34" s="1"/>
  <c r="H26" i="34" s="1"/>
  <c r="H25" i="54" s="1"/>
  <c r="K43" i="34"/>
  <c r="J43" i="34" s="1"/>
  <c r="H43" i="34" s="1"/>
  <c r="K51" i="34"/>
  <c r="J51" i="34" s="1"/>
  <c r="H51" i="34" s="1"/>
  <c r="K60" i="34"/>
  <c r="J60" i="34" s="1"/>
  <c r="H60" i="34" s="1"/>
  <c r="K67" i="34"/>
  <c r="K75" i="34"/>
  <c r="J75" i="34" s="1"/>
  <c r="H75" i="34" s="1"/>
  <c r="H88" i="54" s="1"/>
  <c r="K83" i="34"/>
  <c r="J83" i="34" s="1"/>
  <c r="H83" i="34" s="1"/>
  <c r="H28" i="54" s="1"/>
  <c r="K91" i="34"/>
  <c r="J91" i="34" s="1"/>
  <c r="H91" i="34" s="1"/>
  <c r="K99" i="34"/>
  <c r="K108" i="34"/>
  <c r="J108" i="34" s="1"/>
  <c r="H108" i="34" s="1"/>
  <c r="K19" i="34"/>
  <c r="J19" i="34" s="1"/>
  <c r="H19" i="34" s="1"/>
  <c r="H18" i="54" s="1"/>
  <c r="K31" i="34"/>
  <c r="J31" i="34" s="1"/>
  <c r="H31" i="34" s="1"/>
  <c r="K40" i="34"/>
  <c r="J40" i="34" s="1"/>
  <c r="H40" i="34" s="1"/>
  <c r="H66" i="54" s="1"/>
  <c r="H9" i="54"/>
  <c r="K57" i="34"/>
  <c r="J57" i="34" s="1"/>
  <c r="H57" i="34" s="1"/>
  <c r="K65" i="34"/>
  <c r="J65" i="34" s="1"/>
  <c r="H65" i="34" s="1"/>
  <c r="K72" i="34"/>
  <c r="J72" i="34" s="1"/>
  <c r="H72" i="34" s="1"/>
  <c r="K80" i="34"/>
  <c r="J80" i="34" s="1"/>
  <c r="H80" i="34" s="1"/>
  <c r="H92" i="54" s="1"/>
  <c r="K88" i="34"/>
  <c r="J88" i="34" s="1"/>
  <c r="H88" i="34" s="1"/>
  <c r="K96" i="34"/>
  <c r="J96" i="34" s="1"/>
  <c r="H96" i="34" s="1"/>
  <c r="K105" i="34"/>
  <c r="F68" i="54"/>
  <c r="F24" i="54"/>
  <c r="F9" i="54"/>
  <c r="F55" i="54"/>
  <c r="F17" i="54"/>
  <c r="F71" i="54"/>
  <c r="F66" i="54"/>
  <c r="F37" i="54"/>
  <c r="F33" i="54"/>
  <c r="F78" i="54"/>
  <c r="F77" i="34"/>
  <c r="F83" i="34"/>
  <c r="F82" i="34"/>
  <c r="F81" i="34"/>
  <c r="U143" i="38"/>
  <c r="F52" i="34" s="1"/>
  <c r="U201" i="38"/>
  <c r="U197" i="38"/>
  <c r="U188" i="38"/>
  <c r="F64" i="34" s="1"/>
  <c r="F56" i="54" s="1"/>
  <c r="U185" i="38"/>
  <c r="F63" i="34" s="1"/>
  <c r="F15" i="54" s="1"/>
  <c r="U254" i="38"/>
  <c r="U171" i="38"/>
  <c r="L14" i="76"/>
  <c r="L26" i="76" s="1"/>
  <c r="U46" i="38"/>
  <c r="F60" i="34"/>
  <c r="F16" i="54" s="1"/>
  <c r="U19" i="38"/>
  <c r="F16" i="34" s="1"/>
  <c r="U154" i="38"/>
  <c r="F56" i="34" s="1"/>
  <c r="F49" i="54" s="1"/>
  <c r="U35" i="38"/>
  <c r="F21" i="34" s="1"/>
  <c r="U38" i="38"/>
  <c r="U53" i="38"/>
  <c r="U32" i="38"/>
  <c r="F20" i="34" s="1"/>
  <c r="U56" i="38"/>
  <c r="U22" i="38"/>
  <c r="U59" i="38"/>
  <c r="U16" i="38"/>
  <c r="F15" i="34" s="1"/>
  <c r="U225" i="38"/>
  <c r="U237" i="38"/>
  <c r="F79" i="34" s="1"/>
  <c r="U221" i="38"/>
  <c r="U26" i="38"/>
  <c r="J15" i="34" l="1"/>
  <c r="H15" i="34" s="1"/>
  <c r="L58" i="34"/>
  <c r="J58" i="34" s="1"/>
  <c r="H58" i="34" s="1"/>
  <c r="H52" i="54" s="1"/>
  <c r="I11" i="34"/>
  <c r="D10" i="29" s="1"/>
  <c r="D8" i="4" s="1"/>
  <c r="I14" i="54"/>
  <c r="I37" i="34"/>
  <c r="I42" i="34"/>
  <c r="I28" i="54" s="1"/>
  <c r="I49" i="34"/>
  <c r="I35" i="54" s="1"/>
  <c r="H72" i="54"/>
  <c r="I65" i="34"/>
  <c r="I69" i="54" s="1"/>
  <c r="H16" i="54"/>
  <c r="I60" i="34"/>
  <c r="I29" i="54" s="1"/>
  <c r="H15" i="54"/>
  <c r="I63" i="34"/>
  <c r="I21" i="54" s="1"/>
  <c r="H14" i="54"/>
  <c r="H30" i="54"/>
  <c r="H56" i="54"/>
  <c r="I64" i="34"/>
  <c r="I66" i="54" s="1"/>
  <c r="H61" i="54"/>
  <c r="H49" i="54"/>
  <c r="I56" i="34"/>
  <c r="I22" i="54" s="1"/>
  <c r="H17" i="54"/>
  <c r="I48" i="34"/>
  <c r="I10" i="54" s="1"/>
  <c r="J62" i="34"/>
  <c r="H62" i="34" s="1"/>
  <c r="I40" i="34"/>
  <c r="I58" i="54" s="1"/>
  <c r="I50" i="34"/>
  <c r="I51" i="54" s="1"/>
  <c r="I46" i="34"/>
  <c r="I91" i="34"/>
  <c r="I75" i="54" s="1"/>
  <c r="H83" i="54"/>
  <c r="H75" i="54"/>
  <c r="I88" i="34"/>
  <c r="I89" i="54" s="1"/>
  <c r="I103" i="34"/>
  <c r="I59" i="54" s="1"/>
  <c r="H81" i="54"/>
  <c r="I39" i="34"/>
  <c r="I67" i="54" s="1"/>
  <c r="H80" i="54"/>
  <c r="I89" i="34"/>
  <c r="I87" i="54" s="1"/>
  <c r="H62" i="54"/>
  <c r="I41" i="34"/>
  <c r="I71" i="54" s="1"/>
  <c r="I71" i="34"/>
  <c r="I56" i="54" s="1"/>
  <c r="H58" i="54"/>
  <c r="I107" i="34"/>
  <c r="I41" i="54" s="1"/>
  <c r="H20" i="54"/>
  <c r="I90" i="34"/>
  <c r="I70" i="54" s="1"/>
  <c r="H46" i="54"/>
  <c r="I101" i="34"/>
  <c r="H39" i="54"/>
  <c r="I72" i="34"/>
  <c r="I81" i="54" s="1"/>
  <c r="I102" i="34"/>
  <c r="I32" i="54" s="1"/>
  <c r="H63" i="54"/>
  <c r="I86" i="34"/>
  <c r="I90" i="54" s="1"/>
  <c r="H64" i="54"/>
  <c r="I38" i="34"/>
  <c r="I31" i="54" s="1"/>
  <c r="I92" i="34"/>
  <c r="I77" i="54" s="1"/>
  <c r="H47" i="54"/>
  <c r="I87" i="34"/>
  <c r="I92" i="54" s="1"/>
  <c r="H13" i="54"/>
  <c r="I97" i="34"/>
  <c r="I57" i="54" s="1"/>
  <c r="H10" i="54"/>
  <c r="I32" i="34"/>
  <c r="I48" i="54" s="1"/>
  <c r="H84" i="54"/>
  <c r="I51" i="34"/>
  <c r="I73" i="54" s="1"/>
  <c r="H51" i="54"/>
  <c r="I46" i="54"/>
  <c r="H12" i="54"/>
  <c r="I29" i="34"/>
  <c r="I52" i="54" s="1"/>
  <c r="H11" i="54"/>
  <c r="I109" i="34"/>
  <c r="I50" i="54" s="1"/>
  <c r="H8" i="54"/>
  <c r="I106" i="34"/>
  <c r="I65" i="54" s="1"/>
  <c r="H79" i="54"/>
  <c r="I73" i="34"/>
  <c r="I72" i="54" s="1"/>
  <c r="H44" i="54"/>
  <c r="I24" i="34"/>
  <c r="I25" i="54" s="1"/>
  <c r="H54" i="54"/>
  <c r="I108" i="34"/>
  <c r="I23" i="54" s="1"/>
  <c r="I43" i="34"/>
  <c r="I33" i="54" s="1"/>
  <c r="H76" i="54"/>
  <c r="I95" i="34"/>
  <c r="I63" i="54" s="1"/>
  <c r="H29" i="54"/>
  <c r="I30" i="34"/>
  <c r="I55" i="54" s="1"/>
  <c r="I47" i="34"/>
  <c r="I37" i="54" s="1"/>
  <c r="H35" i="54"/>
  <c r="I96" i="34"/>
  <c r="I47" i="54" s="1"/>
  <c r="I31" i="34"/>
  <c r="I49" i="54" s="1"/>
  <c r="H57" i="54"/>
  <c r="I98" i="34"/>
  <c r="I91" i="54" s="1"/>
  <c r="H85" i="54"/>
  <c r="I33" i="34"/>
  <c r="I64" i="54" s="1"/>
  <c r="H90" i="54"/>
  <c r="I93" i="34"/>
  <c r="I80" i="54" s="1"/>
  <c r="H26" i="54"/>
  <c r="I28" i="34"/>
  <c r="I54" i="54" s="1"/>
  <c r="I26" i="34"/>
  <c r="F25" i="54"/>
  <c r="I82" i="34"/>
  <c r="I84" i="54" s="1"/>
  <c r="F87" i="54"/>
  <c r="F36" i="54"/>
  <c r="I79" i="34"/>
  <c r="I79" i="54" s="1"/>
  <c r="I17" i="34"/>
  <c r="I24" i="54" s="1"/>
  <c r="F19" i="54"/>
  <c r="I83" i="34"/>
  <c r="I39" i="54" s="1"/>
  <c r="F28" i="54"/>
  <c r="I16" i="34"/>
  <c r="I60" i="54" s="1"/>
  <c r="F34" i="54"/>
  <c r="I21" i="34"/>
  <c r="I38" i="54" s="1"/>
  <c r="F67" i="54"/>
  <c r="I52" i="34"/>
  <c r="I68" i="54" s="1"/>
  <c r="F74" i="54"/>
  <c r="I77" i="34"/>
  <c r="I61" i="54" s="1"/>
  <c r="F21" i="54"/>
  <c r="I27" i="34"/>
  <c r="I18" i="54" s="1"/>
  <c r="F45" i="54"/>
  <c r="F89" i="54"/>
  <c r="I20" i="34"/>
  <c r="I42" i="54" s="1"/>
  <c r="F43" i="54"/>
  <c r="I81" i="34"/>
  <c r="I36" i="54" s="1"/>
  <c r="F31" i="54"/>
  <c r="F69" i="34"/>
  <c r="F75" i="34"/>
  <c r="F84" i="34"/>
  <c r="F22" i="54" s="1"/>
  <c r="F22" i="34"/>
  <c r="F59" i="34"/>
  <c r="I59" i="34" s="1"/>
  <c r="I13" i="54" s="1"/>
  <c r="F76" i="34"/>
  <c r="F23" i="34"/>
  <c r="U205" i="38"/>
  <c r="U217" i="38"/>
  <c r="F74" i="34" s="1"/>
  <c r="U160" i="38"/>
  <c r="F57" i="34" s="1"/>
  <c r="I57" i="34" s="1"/>
  <c r="I11" i="54" s="1"/>
  <c r="U240" i="38"/>
  <c r="U179" i="38"/>
  <c r="U243" i="38"/>
  <c r="U166" i="38"/>
  <c r="F58" i="34" s="1"/>
  <c r="U182" i="38"/>
  <c r="F62" i="34" s="1"/>
  <c r="F40" i="54" s="1"/>
  <c r="U233" i="38"/>
  <c r="U150" i="38"/>
  <c r="I58" i="34" l="1"/>
  <c r="I26" i="54" s="1"/>
  <c r="H89" i="54"/>
  <c r="I15" i="34"/>
  <c r="I82" i="54" s="1"/>
  <c r="I43" i="54"/>
  <c r="I45" i="34"/>
  <c r="I86" i="54"/>
  <c r="I100" i="34"/>
  <c r="I16" i="54"/>
  <c r="I36" i="34"/>
  <c r="I19" i="54"/>
  <c r="F9" i="4"/>
  <c r="E9" i="4"/>
  <c r="H40" i="54"/>
  <c r="I62" i="34"/>
  <c r="I78" i="54" s="1"/>
  <c r="I85" i="34"/>
  <c r="D18" i="29" s="1"/>
  <c r="D16" i="4" s="1"/>
  <c r="I105" i="34"/>
  <c r="F14" i="54"/>
  <c r="I74" i="34"/>
  <c r="I20" i="54" s="1"/>
  <c r="F27" i="54"/>
  <c r="I18" i="34"/>
  <c r="I45" i="54" s="1"/>
  <c r="I69" i="34"/>
  <c r="I34" i="54" s="1"/>
  <c r="F48" i="54"/>
  <c r="I25" i="34"/>
  <c r="I44" i="54" s="1"/>
  <c r="F73" i="54"/>
  <c r="I76" i="34"/>
  <c r="I62" i="54" s="1"/>
  <c r="F69" i="54"/>
  <c r="I75" i="34"/>
  <c r="I74" i="54" s="1"/>
  <c r="F88" i="54"/>
  <c r="I22" i="34"/>
  <c r="I15" i="54" s="1"/>
  <c r="F60" i="54"/>
  <c r="F52" i="54"/>
  <c r="I23" i="34"/>
  <c r="I30" i="54" s="1"/>
  <c r="F42" i="54"/>
  <c r="F30" i="54"/>
  <c r="F70" i="34"/>
  <c r="I84" i="34"/>
  <c r="I40" i="54" s="1"/>
  <c r="F61" i="34"/>
  <c r="F78" i="34"/>
  <c r="F80" i="34"/>
  <c r="F55" i="34"/>
  <c r="F82" i="54" s="1"/>
  <c r="U29" i="38"/>
  <c r="F19" i="34" s="1"/>
  <c r="R17" i="4" l="1"/>
  <c r="S17" i="4"/>
  <c r="T17" i="4"/>
  <c r="F17" i="4"/>
  <c r="E17" i="4"/>
  <c r="G17" i="4"/>
  <c r="H17" i="4"/>
  <c r="I17" i="4"/>
  <c r="J17" i="4"/>
  <c r="K17" i="4"/>
  <c r="L17" i="4"/>
  <c r="M17" i="4"/>
  <c r="N17" i="4"/>
  <c r="O17" i="4"/>
  <c r="P17" i="4"/>
  <c r="Q17" i="4"/>
  <c r="F61" i="54"/>
  <c r="I61" i="34"/>
  <c r="I76" i="54" s="1"/>
  <c r="I99" i="34"/>
  <c r="D20" i="29" s="1"/>
  <c r="D18" i="4" s="1"/>
  <c r="I70" i="34"/>
  <c r="I85" i="54" s="1"/>
  <c r="F70" i="54"/>
  <c r="I78" i="34"/>
  <c r="I88" i="54" s="1"/>
  <c r="F77" i="54"/>
  <c r="I19" i="34"/>
  <c r="I27" i="54" s="1"/>
  <c r="F18" i="54"/>
  <c r="I80" i="34"/>
  <c r="I83" i="54" s="1"/>
  <c r="F92" i="54"/>
  <c r="I55" i="34"/>
  <c r="I12" i="54" s="1"/>
  <c r="I14" i="34" l="1"/>
  <c r="Q19" i="4"/>
  <c r="R19" i="4"/>
  <c r="S19" i="4"/>
  <c r="T19" i="4"/>
  <c r="F19" i="4"/>
  <c r="G19" i="4"/>
  <c r="H19" i="4"/>
  <c r="I19" i="4"/>
  <c r="J19" i="4"/>
  <c r="K19" i="4"/>
  <c r="E19" i="4"/>
  <c r="L19" i="4"/>
  <c r="M19" i="4"/>
  <c r="N19" i="4"/>
  <c r="O19" i="4"/>
  <c r="P19" i="4"/>
  <c r="U17" i="4"/>
  <c r="V17" i="4" s="1"/>
  <c r="I68" i="34"/>
  <c r="D16" i="29" s="1"/>
  <c r="D14" i="4" s="1"/>
  <c r="D12" i="29" l="1"/>
  <c r="D10" i="4" s="1"/>
  <c r="U19" i="4"/>
  <c r="V19" i="4" s="1"/>
  <c r="S15" i="4"/>
  <c r="T15" i="4"/>
  <c r="G15" i="4"/>
  <c r="H15" i="4"/>
  <c r="E15" i="4"/>
  <c r="F15" i="4"/>
  <c r="I15" i="4"/>
  <c r="J15" i="4"/>
  <c r="K15" i="4"/>
  <c r="L15" i="4"/>
  <c r="M15" i="4"/>
  <c r="N15" i="4"/>
  <c r="O15" i="4"/>
  <c r="P15" i="4"/>
  <c r="Q15" i="4"/>
  <c r="R15" i="4"/>
  <c r="L9" i="4" l="1"/>
  <c r="N9" i="4"/>
  <c r="K9" i="4"/>
  <c r="J9" i="4"/>
  <c r="O9" i="4"/>
  <c r="I9" i="4"/>
  <c r="P9" i="4"/>
  <c r="H9" i="4"/>
  <c r="G9" i="4"/>
  <c r="T9" i="4"/>
  <c r="S9" i="4"/>
  <c r="R9" i="4"/>
  <c r="Q9" i="4"/>
  <c r="M9" i="4"/>
  <c r="U15" i="4"/>
  <c r="V15" i="4" s="1"/>
  <c r="N11" i="4"/>
  <c r="R11" i="4"/>
  <c r="O11" i="4"/>
  <c r="S11" i="4"/>
  <c r="P11" i="4"/>
  <c r="T11" i="4"/>
  <c r="Q11" i="4"/>
  <c r="H11" i="4"/>
  <c r="E11" i="4"/>
  <c r="F11" i="4"/>
  <c r="G11" i="4"/>
  <c r="I11" i="4"/>
  <c r="M11" i="4"/>
  <c r="K11" i="4"/>
  <c r="L11" i="4"/>
  <c r="J11" i="4"/>
  <c r="U9" i="4" l="1"/>
  <c r="V9" i="4" s="1"/>
  <c r="U11" i="4"/>
  <c r="V11" i="4" s="1"/>
  <c r="J67" i="34" l="1"/>
  <c r="H67" i="34" s="1"/>
  <c r="I67" i="34" l="1"/>
  <c r="I54" i="34" l="1"/>
  <c r="I35" i="34" s="1"/>
  <c r="I116" i="34" s="1"/>
  <c r="I8" i="54"/>
  <c r="D14" i="29" l="1"/>
  <c r="I93" i="54"/>
  <c r="J53" i="54" s="1"/>
  <c r="D12" i="4" l="1"/>
  <c r="F13" i="4" s="1"/>
  <c r="J65" i="54"/>
  <c r="J50" i="54"/>
  <c r="J41" i="54"/>
  <c r="J86" i="54"/>
  <c r="J59" i="54"/>
  <c r="J91" i="54"/>
  <c r="J32" i="54"/>
  <c r="J23" i="54"/>
  <c r="L13" i="4"/>
  <c r="G13" i="4"/>
  <c r="T13" i="4"/>
  <c r="P13" i="4"/>
  <c r="S13" i="4"/>
  <c r="M13" i="4"/>
  <c r="J13" i="4"/>
  <c r="K13" i="4"/>
  <c r="I13" i="4"/>
  <c r="E13" i="4"/>
  <c r="Q13" i="4"/>
  <c r="N13" i="4"/>
  <c r="R13" i="4"/>
  <c r="O13" i="4"/>
  <c r="J60" i="54"/>
  <c r="J87" i="54"/>
  <c r="J19" i="54"/>
  <c r="J51" i="54"/>
  <c r="J21" i="54"/>
  <c r="J90" i="54"/>
  <c r="J47" i="54"/>
  <c r="J45" i="54"/>
  <c r="J46" i="54"/>
  <c r="J10" i="54"/>
  <c r="J44" i="54"/>
  <c r="J61" i="54"/>
  <c r="J15" i="54"/>
  <c r="J37" i="54"/>
  <c r="J72" i="54"/>
  <c r="J82" i="54"/>
  <c r="J27" i="54"/>
  <c r="J70" i="54"/>
  <c r="J67" i="54"/>
  <c r="J35" i="54"/>
  <c r="J52" i="54"/>
  <c r="J11" i="54"/>
  <c r="J17" i="54"/>
  <c r="J73" i="54"/>
  <c r="J33" i="54"/>
  <c r="J18" i="54"/>
  <c r="J80" i="54"/>
  <c r="J77" i="54"/>
  <c r="J85" i="54"/>
  <c r="J38" i="54"/>
  <c r="J29" i="54"/>
  <c r="J62" i="54"/>
  <c r="J26" i="54"/>
  <c r="J30" i="54"/>
  <c r="J25" i="54"/>
  <c r="J13" i="54"/>
  <c r="J31" i="54"/>
  <c r="J22" i="54"/>
  <c r="J79" i="54"/>
  <c r="J49" i="54"/>
  <c r="J83" i="54"/>
  <c r="J54" i="54"/>
  <c r="J14" i="54"/>
  <c r="J69" i="54"/>
  <c r="J84" i="54"/>
  <c r="J63" i="54"/>
  <c r="J48" i="54"/>
  <c r="J34" i="54"/>
  <c r="J40" i="54"/>
  <c r="J56" i="54"/>
  <c r="J88" i="54"/>
  <c r="J16" i="54"/>
  <c r="J12" i="54"/>
  <c r="J36" i="54"/>
  <c r="J55" i="54"/>
  <c r="J76" i="54"/>
  <c r="J81" i="54"/>
  <c r="J42" i="54"/>
  <c r="J8" i="54"/>
  <c r="M96" i="54"/>
  <c r="J71" i="54"/>
  <c r="J28" i="54"/>
  <c r="J39" i="54"/>
  <c r="J74" i="54"/>
  <c r="J64" i="54"/>
  <c r="J68" i="54"/>
  <c r="J89" i="54"/>
  <c r="J75" i="54"/>
  <c r="J58" i="54"/>
  <c r="J9" i="54"/>
  <c r="J43" i="54"/>
  <c r="J24" i="54"/>
  <c r="J92" i="54"/>
  <c r="J66" i="54"/>
  <c r="J57" i="54"/>
  <c r="J20" i="54"/>
  <c r="J78" i="54"/>
  <c r="H13" i="4" l="1"/>
  <c r="U13" i="4"/>
  <c r="V13" i="4" s="1"/>
  <c r="I117" i="34" l="1"/>
  <c r="I111" i="34" s="1"/>
  <c r="I110" i="34" s="1"/>
  <c r="I112" i="34" s="1"/>
  <c r="I114" i="34" l="1"/>
  <c r="L94" i="54"/>
  <c r="D22" i="29"/>
  <c r="D20" i="4" l="1"/>
  <c r="D24" i="29"/>
  <c r="D25" i="29"/>
  <c r="C22" i="29" l="1"/>
  <c r="C14" i="29"/>
  <c r="C18" i="29"/>
  <c r="C12" i="29"/>
  <c r="C16" i="29"/>
  <c r="C20" i="29"/>
  <c r="C10" i="29"/>
  <c r="I21" i="4"/>
  <c r="I24" i="4" s="1"/>
  <c r="G21" i="4"/>
  <c r="G24" i="4" s="1"/>
  <c r="G22" i="4" s="1"/>
  <c r="G23" i="4" s="1"/>
  <c r="J21" i="4"/>
  <c r="J24" i="4" s="1"/>
  <c r="J22" i="4" s="1"/>
  <c r="J23" i="4" s="1"/>
  <c r="E21" i="4"/>
  <c r="T21" i="4"/>
  <c r="T24" i="4" s="1"/>
  <c r="T22" i="4" s="1"/>
  <c r="T23" i="4" s="1"/>
  <c r="F21" i="4"/>
  <c r="F24" i="4" s="1"/>
  <c r="F22" i="4" s="1"/>
  <c r="F23" i="4" s="1"/>
  <c r="M21" i="4"/>
  <c r="M24" i="4" s="1"/>
  <c r="M22" i="4" s="1"/>
  <c r="M23" i="4" s="1"/>
  <c r="Q21" i="4"/>
  <c r="Q24" i="4" s="1"/>
  <c r="Q22" i="4" s="1"/>
  <c r="Q23" i="4" s="1"/>
  <c r="L21" i="4"/>
  <c r="L24" i="4" s="1"/>
  <c r="L22" i="4" s="1"/>
  <c r="L23" i="4" s="1"/>
  <c r="R21" i="4"/>
  <c r="R24" i="4" s="1"/>
  <c r="H21" i="4"/>
  <c r="H24" i="4" s="1"/>
  <c r="S21" i="4"/>
  <c r="S24" i="4" s="1"/>
  <c r="P21" i="4"/>
  <c r="P24" i="4" s="1"/>
  <c r="N21" i="4"/>
  <c r="N24" i="4" s="1"/>
  <c r="O21" i="4"/>
  <c r="O24" i="4" s="1"/>
  <c r="D22" i="4"/>
  <c r="K21" i="4"/>
  <c r="K24" i="4" s="1"/>
  <c r="K22" i="4" l="1"/>
  <c r="K23" i="4" s="1"/>
  <c r="C24" i="29"/>
  <c r="I22" i="4"/>
  <c r="I23" i="4" s="1"/>
  <c r="E24" i="4"/>
  <c r="U21" i="4"/>
  <c r="V21" i="4" s="1"/>
  <c r="O22" i="4"/>
  <c r="O23" i="4" s="1"/>
  <c r="S22" i="4"/>
  <c r="S23" i="4" s="1"/>
  <c r="H22" i="4"/>
  <c r="H23" i="4" s="1"/>
  <c r="N22" i="4"/>
  <c r="N23" i="4" s="1"/>
  <c r="P22" i="4"/>
  <c r="P23" i="4" s="1"/>
  <c r="R22" i="4"/>
  <c r="R23" i="4" s="1"/>
  <c r="E25" i="4" l="1"/>
  <c r="F25" i="4" s="1"/>
  <c r="G25" i="4" s="1"/>
  <c r="H25" i="4" s="1"/>
  <c r="I25" i="4" s="1"/>
  <c r="J25" i="4" s="1"/>
  <c r="K25" i="4" s="1"/>
  <c r="L25" i="4" s="1"/>
  <c r="M25" i="4" s="1"/>
  <c r="N25" i="4" s="1"/>
  <c r="O25" i="4" s="1"/>
  <c r="P25" i="4" s="1"/>
  <c r="Q25" i="4" s="1"/>
  <c r="R25" i="4" s="1"/>
  <c r="S25" i="4" s="1"/>
  <c r="T25" i="4" s="1"/>
  <c r="E22" i="4"/>
  <c r="E23" i="4" l="1"/>
  <c r="W22" i="4"/>
</calcChain>
</file>

<file path=xl/sharedStrings.xml><?xml version="1.0" encoding="utf-8"?>
<sst xmlns="http://schemas.openxmlformats.org/spreadsheetml/2006/main" count="1990" uniqueCount="681">
  <si>
    <t>DATA-BASE:</t>
  </si>
  <si>
    <t>BDI:</t>
  </si>
  <si>
    <t>ITEM</t>
  </si>
  <si>
    <t>CÓDIGO</t>
  </si>
  <si>
    <t>ORGÃO</t>
  </si>
  <si>
    <t>DESCRIÇÃO SERVIÇO</t>
  </si>
  <si>
    <t>m</t>
  </si>
  <si>
    <t>m²</t>
  </si>
  <si>
    <t>TOTAL GERAL</t>
  </si>
  <si>
    <t>CÓD.</t>
  </si>
  <si>
    <t>TOTAL</t>
  </si>
  <si>
    <t>QUANTIDADE</t>
  </si>
  <si>
    <t>CRONOGRAMA FÍSICO-FINANCEIRO</t>
  </si>
  <si>
    <t>DESCRIÇÃO</t>
  </si>
  <si>
    <t>PERÍODO (MESES)</t>
  </si>
  <si>
    <t xml:space="preserve">Físico (%) </t>
  </si>
  <si>
    <t>Financeiro (R$)</t>
  </si>
  <si>
    <t>Total Parcial (%)</t>
  </si>
  <si>
    <t>Total Acumulado (%)</t>
  </si>
  <si>
    <t>Total Financeiro (R$)</t>
  </si>
  <si>
    <t>Total Acumulado (R$)</t>
  </si>
  <si>
    <t>PLANILHA ORÇAMENTÁRIA</t>
  </si>
  <si>
    <t>RESUMO</t>
  </si>
  <si>
    <t>RESUMO DE ORÇAMENTO</t>
  </si>
  <si>
    <t>CUSTO TOTAL (R$)</t>
  </si>
  <si>
    <t>Custo Unitário</t>
  </si>
  <si>
    <t>VALORES (R$)</t>
  </si>
  <si>
    <t>BDI</t>
  </si>
  <si>
    <t>UNIDADE</t>
  </si>
  <si>
    <t>UNITÁRIO</t>
  </si>
  <si>
    <t>CUSTO (R$)</t>
  </si>
  <si>
    <t>CONFERÊNCIA</t>
  </si>
  <si>
    <t>%</t>
  </si>
  <si>
    <t>kg</t>
  </si>
  <si>
    <t>Kg</t>
  </si>
  <si>
    <t>Data-base:</t>
  </si>
  <si>
    <t>CUSTO OPERACIONAL</t>
  </si>
  <si>
    <t>CUSTO</t>
  </si>
  <si>
    <t>EQUIPAMENTO</t>
  </si>
  <si>
    <t>EMOP</t>
  </si>
  <si>
    <t>Cálculo do BDI (Benefícios e Despesas Indiretas)</t>
  </si>
  <si>
    <t>1. METODOLOGIA DE VERIFICAÇÃO</t>
  </si>
  <si>
    <t>Sem Desoneração</t>
  </si>
  <si>
    <t>2. DADOS DO EMPREENDIMENTO</t>
  </si>
  <si>
    <t>2.1. Tipologia</t>
  </si>
  <si>
    <t>3. INCIDÊNCIAS SOBRE O CUSTO</t>
  </si>
  <si>
    <t>Administração central</t>
  </si>
  <si>
    <t>Riscos</t>
  </si>
  <si>
    <t>Seguros e Garantias Contratuais</t>
  </si>
  <si>
    <t>Encargos financeiros</t>
  </si>
  <si>
    <t>Total (A)</t>
  </si>
  <si>
    <t>4. INCIDÊNCIAS SOBRE O PREÇO DE VENDA</t>
  </si>
  <si>
    <t>Despesas Tributárias</t>
  </si>
  <si>
    <t>ISS</t>
  </si>
  <si>
    <t>COFINS</t>
  </si>
  <si>
    <t>PIS</t>
  </si>
  <si>
    <t>DESONERAÇÃO</t>
  </si>
  <si>
    <t>Lucro</t>
  </si>
  <si>
    <t>Total (B)</t>
  </si>
  <si>
    <t>5. DEMONSTRATIVO DE CÁLCULO DO BDI</t>
  </si>
  <si>
    <r>
      <t xml:space="preserve">BDI=    </t>
    </r>
    <r>
      <rPr>
        <u/>
        <sz val="10"/>
        <rFont val="Arial"/>
        <family val="2"/>
      </rPr>
      <t>(1+(AC+S+R+G))(1+DF)(1+L))</t>
    </r>
    <r>
      <rPr>
        <sz val="10"/>
        <rFont val="Arial"/>
        <family val="2"/>
      </rPr>
      <t xml:space="preserve">  -1 =</t>
    </r>
  </si>
  <si>
    <t>( 1- I )</t>
  </si>
  <si>
    <t>Onde:</t>
  </si>
  <si>
    <t>AC: taxa de administração central;</t>
  </si>
  <si>
    <t>S: taxa de seguros;</t>
  </si>
  <si>
    <t>R: taxa de riscos;</t>
  </si>
  <si>
    <t>G: taxa de garantias;</t>
  </si>
  <si>
    <t>DF: taxa de despesas financeiras;</t>
  </si>
  <si>
    <t>L: taxa de lucro/remuneração;</t>
  </si>
  <si>
    <t>I: taxa de incidência de impostos (PIS, COFINS, ISS).</t>
  </si>
  <si>
    <t xml:space="preserve">MEMÓRIA DE CALCULO </t>
  </si>
  <si>
    <t xml:space="preserve">ITEM </t>
  </si>
  <si>
    <t xml:space="preserve">DESCRIÇÃO DOS SERVIÇOS </t>
  </si>
  <si>
    <t>QUANT.</t>
  </si>
  <si>
    <t>MÊS</t>
  </si>
  <si>
    <t>1</t>
  </si>
  <si>
    <t>1.1</t>
  </si>
  <si>
    <t>2.1</t>
  </si>
  <si>
    <t>2.3</t>
  </si>
  <si>
    <t>DER</t>
  </si>
  <si>
    <t>4</t>
  </si>
  <si>
    <t>2.2</t>
  </si>
  <si>
    <t>UTILIZAÇÃO</t>
  </si>
  <si>
    <t>H</t>
  </si>
  <si>
    <t>OBSERVAÇÕES</t>
  </si>
  <si>
    <t xml:space="preserve">LOCAL: </t>
  </si>
  <si>
    <t xml:space="preserve">OBRA: </t>
  </si>
  <si>
    <t xml:space="preserve">DATA </t>
  </si>
  <si>
    <t>OBSERVAÇÕES GERAIS</t>
  </si>
  <si>
    <t>COMPOSIÇÃO DE PREÇO UNITÁRIO</t>
  </si>
  <si>
    <t>ÓRGÃO</t>
  </si>
  <si>
    <t>COND. DE TRAB.</t>
  </si>
  <si>
    <t>QUANT</t>
  </si>
  <si>
    <t>PROD</t>
  </si>
  <si>
    <t>IMPR</t>
  </si>
  <si>
    <t>Vl Hr. Imp</t>
  </si>
  <si>
    <t>Custo Horário</t>
  </si>
  <si>
    <t>( A ) TOTAL</t>
  </si>
  <si>
    <t>MÃO DE OBRA SUPLEMENTAR</t>
  </si>
  <si>
    <t xml:space="preserve"> CUSTO HORÁRIO</t>
  </si>
  <si>
    <t>( B ) TOTAL</t>
  </si>
  <si>
    <t>( C ) ADICIONAL DE FERRAMENTAS MANUAIS (5%)</t>
  </si>
  <si>
    <t xml:space="preserve"> ( D ) PRODUÇÃO DA EQUIPE</t>
  </si>
  <si>
    <t>CUSTO UNITÁRIO DA EXECUÇÃO ( A + B + C) / D = ( E )</t>
  </si>
  <si>
    <t>MATERIAIS</t>
  </si>
  <si>
    <t>CONSUMO</t>
  </si>
  <si>
    <t>CUSTO UNITÁRIO</t>
  </si>
  <si>
    <t>( F ) TOTAL</t>
  </si>
  <si>
    <t>SERVIÇOS</t>
  </si>
  <si>
    <t>( G ) TOTAL</t>
  </si>
  <si>
    <t>TRANSPORTE</t>
  </si>
  <si>
    <t>D.M.T.</t>
  </si>
  <si>
    <t>CONSUMO (t)</t>
  </si>
  <si>
    <t xml:space="preserve">CUSTO TOTAL </t>
  </si>
  <si>
    <t>XP</t>
  </si>
  <si>
    <t>FÓRMULA</t>
  </si>
  <si>
    <t>( H ) TOTAL</t>
  </si>
  <si>
    <t>CUSTO DIRETO TOTAL  ( E ) + ( F ) + ( G ) + ( H )</t>
  </si>
  <si>
    <t>CUSTO UNITÁRIO TOTAL</t>
  </si>
  <si>
    <t xml:space="preserve">4 HORAS POR DIA NA OBRA </t>
  </si>
  <si>
    <t xml:space="preserve">8 HORAS POR DIA 21 DIAS NO MÊS OS 12 MESES DE OBRA </t>
  </si>
  <si>
    <t>FATOR</t>
  </si>
  <si>
    <t>REFER.</t>
  </si>
  <si>
    <t>XR</t>
  </si>
  <si>
    <t>PLANILHA</t>
  </si>
  <si>
    <t xml:space="preserve">ORÇAMENTISTA: </t>
  </si>
  <si>
    <t>1.2</t>
  </si>
  <si>
    <t>COMP (m)</t>
  </si>
  <si>
    <t>LARG (m)</t>
  </si>
  <si>
    <t>ALTURA (m)</t>
  </si>
  <si>
    <t>ESPESSURA (m)</t>
  </si>
  <si>
    <t>ÁREA (m²)</t>
  </si>
  <si>
    <t>VOLUME (m³)</t>
  </si>
  <si>
    <t>SUB-TOTAL</t>
  </si>
  <si>
    <t>Luiz Araujo de Souza Junior  - CREA: RJ-2021102768/D - Visto 20210452/ES</t>
  </si>
  <si>
    <t>COM - BDI</t>
  </si>
  <si>
    <t>SEM - BDI</t>
  </si>
  <si>
    <t xml:space="preserve">NÃO IMPRIMIR </t>
  </si>
  <si>
    <t>DER- 23,32%</t>
  </si>
  <si>
    <t xml:space="preserve">SERVIÇO: </t>
  </si>
  <si>
    <t>K ou R</t>
  </si>
  <si>
    <t>SALÁRIO HORA</t>
  </si>
  <si>
    <t>UNIDADE: UND</t>
  </si>
  <si>
    <t>Vl Hr.Prod</t>
  </si>
  <si>
    <r>
      <t xml:space="preserve">ESPECIFICAÇÃO: </t>
    </r>
    <r>
      <rPr>
        <sz val="10"/>
        <color indexed="8"/>
        <rFont val="Arial"/>
        <family val="2"/>
      </rPr>
      <t>-</t>
    </r>
  </si>
  <si>
    <t>PREÇO TOTAL (R$)</t>
  </si>
  <si>
    <t>CURVA ABC</t>
  </si>
  <si>
    <t>m³</t>
  </si>
  <si>
    <t>Plataforma ou passarela de pinho de 1ª ou similar, 1" x 12"</t>
  </si>
  <si>
    <t>UND</t>
  </si>
  <si>
    <t>Aço CA-25, fornecimento, dobragem e colocação nas formas</t>
  </si>
  <si>
    <t>Aço CA-50, fornecimento, dobragem e colocação nas formas (preço médio das bitolas)</t>
  </si>
  <si>
    <t>und</t>
  </si>
  <si>
    <t>Pintura a cal em pontes (2 demãos)</t>
  </si>
  <si>
    <t>Formas planas de madeirit meso e superestrutura com 1 reaproveitamento esp. = 17 mm,
inclusive fornecimento e transporte das madeiras</t>
  </si>
  <si>
    <t>SICRO</t>
  </si>
  <si>
    <t>Placas pré-moldadas para forma de tabuleiro de ponte</t>
  </si>
  <si>
    <t>Lábios poliméricos em junta de pavimento de concreto - L = 20 mm e H = 30 mm - confecção e assentamento</t>
  </si>
  <si>
    <t>Servente</t>
  </si>
  <si>
    <t>P9824</t>
  </si>
  <si>
    <t>UNIDADE: KG</t>
  </si>
  <si>
    <t>Pedreiro de O.A.E.</t>
  </si>
  <si>
    <t>Graxa comum</t>
  </si>
  <si>
    <t>Tubo de PVC soldável DN 32mm</t>
  </si>
  <si>
    <t>Junta de dilatação em elastômero e perfil VV - L = 35 mm e H = 60 mm - fornecimento e instalação</t>
  </si>
  <si>
    <t>Aplicação de graxa para as barras de transferência</t>
  </si>
  <si>
    <t>MESOESTRUTURA PONTE OAE</t>
  </si>
  <si>
    <t>SUPERESTRUTURA PONTE OAE</t>
  </si>
  <si>
    <t>h</t>
  </si>
  <si>
    <t>L/M</t>
  </si>
  <si>
    <t>SC</t>
  </si>
  <si>
    <t>PER.</t>
  </si>
  <si>
    <t>Dreno de PVC D = 100 mm</t>
  </si>
  <si>
    <t>4.1</t>
  </si>
  <si>
    <t>4.2</t>
  </si>
  <si>
    <t>Acabamento em concreto fresco (15,0 MPa), para pavimento, inclusive endurecedor químico
de superfície</t>
  </si>
  <si>
    <t>COMP_02</t>
  </si>
  <si>
    <t>3.2</t>
  </si>
  <si>
    <t>3.3</t>
  </si>
  <si>
    <t>O.A.E. PONTE - 71,10 m</t>
  </si>
  <si>
    <t>PONTE SOBRE O RIO SANTA MARIA DO RIO DOCE, SÃO ROQUE DO CANAÃ-ES</t>
  </si>
  <si>
    <t>05.001.0160-0</t>
  </si>
  <si>
    <t>Und</t>
  </si>
  <si>
    <t>Escavação, carga e transporte de material de 1º categoria</t>
  </si>
  <si>
    <t>Limpeza, desmatamento e destocamento de árvores com diâmetro até 15 cm, com trator de esteira</t>
  </si>
  <si>
    <t>Hidrossemeadura simples em terrenos planos</t>
  </si>
  <si>
    <t>Aluguel de container p/ escritório c/ ar condicionado e banheiro, isolam.térmico e acústico, 2
luminárias, janela de vidro, tomada p/ comput. e telef.</t>
  </si>
  <si>
    <t>Mes</t>
  </si>
  <si>
    <t>Aluguel de container para almoxarifado</t>
  </si>
  <si>
    <t>Aluguel de container tipo refeitório (2 unidades acopladas), c/ 2 aparelhos de ar condicionado,
4 lumináriase 4 janelas de vidro</t>
  </si>
  <si>
    <t>Aluguel de container tipo vestiário, 2 luminárias, piso especial e janela</t>
  </si>
  <si>
    <t>Aluguel de container tipo sanitário com 3 vasos sanitários, lavatório, mictório, 5 chuveiros, 2
venezianas e piso especial</t>
  </si>
  <si>
    <t>Barracão em chapa compensada 12mm e pont. 8x8cm, piso cimentado e cobertura de telhas
fibrocimento 6mm, incl. ponto de luz</t>
  </si>
  <si>
    <t>Galpão em peças de madeira 8x8cm e contravent. de 5x7cm, cobertura de telhas de fibroc. de
6mm, incl. ponto e cabo de alimentação da máquina</t>
  </si>
  <si>
    <t>Rede de água c/ padrão de entrada d'água diâm. 3/4" conf. CESAN, incl. tubos e conexões p/
aliment., distrib., extravas. e limp., cons. o padrão a 25m</t>
  </si>
  <si>
    <t>Rede de esgoto, contendo fossa e filtro, incl. tubos e conexões de ligação entre caixas,
considerando distância de 25m</t>
  </si>
  <si>
    <t>Rede de luz, incl. padrão entr. energia trifás. cabo ligação até barracões, quadro distrib., disj. e
chave de força, cons. 20m entre padrão entr.e QDG</t>
  </si>
  <si>
    <t>Reservatório de fibra de vidro de 1000 L, incl. suporte em madeira de 7x12cm, elevado de 4m</t>
  </si>
  <si>
    <t>Sistema separador de água e óleo</t>
  </si>
  <si>
    <t>Canaleta de concreto retangular com grelha em barra de aço</t>
  </si>
  <si>
    <t>Cerca de arame farpado 4 fios com mourões a cada 2,0 m, esticadores de madeira, a cada 20,0 m, inclusive transporte de mourão e arame farpado)</t>
  </si>
  <si>
    <t>Placa de obra nas dimensões de 3,0 x 6,0 m, padrão DER-ES</t>
  </si>
  <si>
    <t>Pó de pedra inclusive fornecimento, espalhamento e transporte</t>
  </si>
  <si>
    <t>5</t>
  </si>
  <si>
    <t xml:space="preserve">ADMINISTRAÇÃO LOCAL </t>
  </si>
  <si>
    <t>5.1</t>
  </si>
  <si>
    <t>Administração local, inclusive vigilância</t>
  </si>
  <si>
    <t>6.99%</t>
  </si>
  <si>
    <t>CANTEIRO DE OBRA</t>
  </si>
  <si>
    <t>05.002.0065-0</t>
  </si>
  <si>
    <t>Demolição de concreto armado</t>
  </si>
  <si>
    <t>05.026.0004-0</t>
  </si>
  <si>
    <t>Limpeza de aço com lixamento e escovação com escova de aço, até a completa remoção de partículas soltas, materiais indesejáveis e corrosão</t>
  </si>
  <si>
    <t>Recuperação estrutural com uso de argamassa polimérica (espessura média=3,5 cm)</t>
  </si>
  <si>
    <t>DEMOLIÇÃO DA PASSARELA/RECUPERAÇÃO DAS ARMADURAS REMANESCENTES</t>
  </si>
  <si>
    <t>RETIRADA DO ASFALTO E SOLO/INSERÇÃO DOS PERFIS E TAMPONAMENTO COM PÓ DE BRITA</t>
  </si>
  <si>
    <t>COMP_01</t>
  </si>
  <si>
    <t>Remoção cuidadosa do concreto afetado, através de escarificação (considerando esp. Escarificada de 5 cm)</t>
  </si>
  <si>
    <t>Limpeza em superfície de concreto com jateamento d'água sob pressão</t>
  </si>
  <si>
    <t>Jateamento de chapa de aço com uso de granalhas de aço grau sa 2 1/2</t>
  </si>
  <si>
    <t>Retirada de ferragem corroída</t>
  </si>
  <si>
    <t xml:space="preserve">Furação e fixação de barras de aço </t>
  </si>
  <si>
    <t>SINAPI</t>
  </si>
  <si>
    <t>Adesivo estrutural a base de resina epóxi, bicomponente, fluido</t>
  </si>
  <si>
    <t>Concreto para bombeamento fck = 40 MPa com adição de critalizante (tabuleiros)</t>
  </si>
  <si>
    <t>Solda com maçarico oxiacetileno de chapas de aço de 12,5 mm</t>
  </si>
  <si>
    <t xml:space="preserve">Injeção de epóxi em fissuras, inclusive preparo e montagem de bicos de injeção </t>
  </si>
  <si>
    <t xml:space="preserve">SINALIZAÇÃO </t>
  </si>
  <si>
    <t>SINALIZAÇÃO PROVISÓRIA</t>
  </si>
  <si>
    <t>Elementos de madeira para sinalização - cavaletes</t>
  </si>
  <si>
    <t>Sinalização vertical com chapa em esmalte sintético</t>
  </si>
  <si>
    <t>Tela de proteção de segurança de PVC cor laranja com suporte para sinalização de obras</t>
  </si>
  <si>
    <t>SINALIZAÇÃO DEFINITIVA</t>
  </si>
  <si>
    <t>Sinalização horizontal TMD=600, vida útil 2 a 3 anos, taxa=0,80 L/m²</t>
  </si>
  <si>
    <t>Pintura de setas e zebrados em material termoplástico - 5 anos ( por extrusão)</t>
  </si>
  <si>
    <t>Sinalização vertical com chapa revestida em película, inclusive suporte em madeira</t>
  </si>
  <si>
    <t>Tachão refletivo birrefletorizado, fornecimento e aplicação</t>
  </si>
  <si>
    <t>V. C/ ENCARGOS</t>
  </si>
  <si>
    <t>Engenheiro Civil Pleno</t>
  </si>
  <si>
    <t>Engenheiro sênior</t>
  </si>
  <si>
    <t>Encarregado Geral</t>
  </si>
  <si>
    <t>Almoxarife</t>
  </si>
  <si>
    <t>Técnico de campo</t>
  </si>
  <si>
    <t>Vigia</t>
  </si>
  <si>
    <t>Bordas da ponte</t>
  </si>
  <si>
    <t>Corte da passarela</t>
  </si>
  <si>
    <t>Aberturas nas laterais</t>
  </si>
  <si>
    <t>Aberturas nas laterais para passagem dos perfis</t>
  </si>
  <si>
    <t>Bordas a serem demolidas</t>
  </si>
  <si>
    <t>Tubos horizontais (guarda-corpo)</t>
  </si>
  <si>
    <t>Tubos verticais (guarda-corpo)</t>
  </si>
  <si>
    <t>Chapa de aço (Passarela)</t>
  </si>
  <si>
    <t>Perfil "I" horizontal</t>
  </si>
  <si>
    <t>Perfil "I" vertical</t>
  </si>
  <si>
    <t>Área interna da perfuração para passagem dos perfis</t>
  </si>
  <si>
    <t>Lateral da ponte onde houve demolição da borda</t>
  </si>
  <si>
    <t>Asfalto da ponte</t>
  </si>
  <si>
    <t>Asfalto da região da laje de transição</t>
  </si>
  <si>
    <t>Volume de solo na parte interna da estrurura existente</t>
  </si>
  <si>
    <t>Perfil W 460 x 68</t>
  </si>
  <si>
    <t>Epóxi para fixação dos parafusos</t>
  </si>
  <si>
    <t>Cantoneira para fixação dos perfis</t>
  </si>
  <si>
    <t xml:space="preserve">Solda para fixar os perfis nas cantoneiras </t>
  </si>
  <si>
    <t>Parafusos para fixação da cantoneira na estrutura existente</t>
  </si>
  <si>
    <t xml:space="preserve">Pó de pedra para preenchimento dos vazios </t>
  </si>
  <si>
    <t>Tabuleiro</t>
  </si>
  <si>
    <t>Laje de transição</t>
  </si>
  <si>
    <t>Folha 11</t>
  </si>
  <si>
    <t>Folha 13</t>
  </si>
  <si>
    <t>Console</t>
  </si>
  <si>
    <t>Barras de transferência</t>
  </si>
  <si>
    <t xml:space="preserve">Junta de dilatação </t>
  </si>
  <si>
    <t>Pré-laje do tabuleiro 01</t>
  </si>
  <si>
    <t>Pré-laje do tabuleiro 02 e 03</t>
  </si>
  <si>
    <t>Folha 04</t>
  </si>
  <si>
    <t>Tabuleiro 02 e 03</t>
  </si>
  <si>
    <t>Tabuleiro 01</t>
  </si>
  <si>
    <t>Lábios poliméricos</t>
  </si>
  <si>
    <t>Folha 12</t>
  </si>
  <si>
    <t>Drenos do tabuleiro</t>
  </si>
  <si>
    <t>Guarda-corpo do tabuleiro</t>
  </si>
  <si>
    <t>Remoção cuidadosa do concreto afetado na parte interna</t>
  </si>
  <si>
    <t>Remoção cuidadosa do concreto afetado na parte externa</t>
  </si>
  <si>
    <t>Dreno na parte interna (1 a cada 5 m²)</t>
  </si>
  <si>
    <t>Realização de percursão na parte interna</t>
  </si>
  <si>
    <t>Realização de percursão na parte externa</t>
  </si>
  <si>
    <t>Hidrojateamento na parte interna</t>
  </si>
  <si>
    <t>Hidrojateamento na parte externa</t>
  </si>
  <si>
    <t>Limpeza do aço na parte interna</t>
  </si>
  <si>
    <t>Limpeza do aço na parte externa</t>
  </si>
  <si>
    <t>Retirada de ferro corroida da parte interna (1kg a cada 10m²)</t>
  </si>
  <si>
    <t>Retirada de ferro corroida da parte externa(1kg a cada 10m²)</t>
  </si>
  <si>
    <t xml:space="preserve">Aço para recuperação </t>
  </si>
  <si>
    <t>Furação e fixação de barras de aço (1 und a cada 5 kg)</t>
  </si>
  <si>
    <t>Recuperação estrutural arg. Polimerica na parte interna</t>
  </si>
  <si>
    <t>Recuperação estrutural arg. Polimerica na parte externo</t>
  </si>
  <si>
    <t>Corte com disco na parte interna (1 metro a cada 10 m²)</t>
  </si>
  <si>
    <t>Corte com disco na parte externa (1 metro a cada 10 m²)</t>
  </si>
  <si>
    <t>Manta Geotêxtil não tecida com resistência longitudinal a tração 10 kN/m, fornecimento e aplicação</t>
  </si>
  <si>
    <t>Colchão drenante de brita 2 inclusive fornecimento, espalhamento, compactação e transporte da brita</t>
  </si>
  <si>
    <t>Galpão para corte e armação com área de 6.00m2, em peças de madeira 8x8cm e contraventamento de
5x7cm, cobertura de telhas de fibroc. de 6mm, inclusive ponto e cabo de alimentação da máquina, conf.
projeto (1 utilização)</t>
  </si>
  <si>
    <t>Alojamento</t>
  </si>
  <si>
    <t>Oficina</t>
  </si>
  <si>
    <t>Deposito de cimento</t>
  </si>
  <si>
    <t>Ambulatório</t>
  </si>
  <si>
    <t>Escritório</t>
  </si>
  <si>
    <t>Seção Técnica</t>
  </si>
  <si>
    <t>Almoxarifado</t>
  </si>
  <si>
    <t>Refeitorio e Cozinha</t>
  </si>
  <si>
    <t>Vestiario</t>
  </si>
  <si>
    <t>Banheiro</t>
  </si>
  <si>
    <t>Equipe Topográfica</t>
  </si>
  <si>
    <t>Carpintaria</t>
  </si>
  <si>
    <t>Guarita</t>
  </si>
  <si>
    <t>Área de recreação</t>
  </si>
  <si>
    <t>Central de armaduras</t>
  </si>
  <si>
    <t>Reservatório</t>
  </si>
  <si>
    <t>Rede de água</t>
  </si>
  <si>
    <t>Rede de esgoto</t>
  </si>
  <si>
    <t>Placa de obra nas dimensões de 2,0 x 1,0 m, legislação ambiental</t>
  </si>
  <si>
    <t>Limpeza do canteiro</t>
  </si>
  <si>
    <t>Plantação por conta das retiradas iniciais</t>
  </si>
  <si>
    <t>pó de pedra para o canteiro</t>
  </si>
  <si>
    <t>COMP_03</t>
  </si>
  <si>
    <t>Execução do arcos centrais da ponte</t>
  </si>
  <si>
    <t>T</t>
  </si>
  <si>
    <t>Corte com maçarico oxiacetileno de chapas de aço com espessura de 12,5 mm</t>
  </si>
  <si>
    <t>KG</t>
  </si>
  <si>
    <t>Solda elétrica de perfis metálicos e chapas de aço com eletrodo E60XX</t>
  </si>
  <si>
    <t>Chapa fina em aço ASTM A36</t>
  </si>
  <si>
    <t>M1376</t>
  </si>
  <si>
    <t>Porca sextavada pesada em aço ASTM A194 grau 2H para parafuso - D = 16 mm</t>
  </si>
  <si>
    <t>M0967</t>
  </si>
  <si>
    <t>Arruela lisa em aço ASTM F436 para parafuso - D = 16,0 mm</t>
  </si>
  <si>
    <t>M0949</t>
  </si>
  <si>
    <t>Serralheiro</t>
  </si>
  <si>
    <t>ARCO NOVO</t>
  </si>
  <si>
    <t>Chumbador de aço, diâmetro 5/8", comprimento 6", com porca</t>
  </si>
  <si>
    <t>Remoção manual de revestimento asfáltico</t>
  </si>
  <si>
    <t>Demolição para implementação dos consoles</t>
  </si>
  <si>
    <t>MURO DE CONTENÇÃO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</si>
  <si>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</si>
  <si>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</si>
  <si>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</si>
  <si>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</si>
  <si>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</si>
  <si>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</si>
  <si>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</si>
  <si>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</si>
  <si>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</si>
  <si>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</si>
  <si>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</si>
  <si>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Dreno de PVC D = 50 mm</t>
  </si>
  <si>
    <t>Reaterro de valas, exclusive compactação</t>
  </si>
  <si>
    <t>Compactação de aterros 100% PN</t>
  </si>
  <si>
    <t>Fornecimento, preparo e aplicação de concreto magro com consumo mínimo de cimento de 250 kg/m3 (brita 1 e 2) - (5%de perdas já incluído no custo)</t>
  </si>
  <si>
    <t xml:space="preserve">Fôrma de chapa compensada resinada 12mm, levando-se em conta a utilização 3 vezes (incluido o material, corte,montagem, escoramento e desfôrma) </t>
  </si>
  <si>
    <t>5.2</t>
  </si>
  <si>
    <t>6</t>
  </si>
  <si>
    <t>EXECUÇÃO DA NOVA SUPERESTRUTURA</t>
  </si>
  <si>
    <t>t</t>
  </si>
  <si>
    <t>21.050.0045-0</t>
  </si>
  <si>
    <t>Solda elétrica manual de perfis metálicos e chapas de aço com eletrodo E70XX</t>
  </si>
  <si>
    <t>Chapa de aço 3/8"</t>
  </si>
  <si>
    <t>M2</t>
  </si>
  <si>
    <t>Soldador</t>
  </si>
  <si>
    <t>Furadeira elétrica de impacto BOSCH 1184 ou equivalente</t>
  </si>
  <si>
    <t>Serra circular manual</t>
  </si>
  <si>
    <t>Máquina de solda 425 A, pot=33A</t>
  </si>
  <si>
    <t>UNIDADE: m</t>
  </si>
  <si>
    <t>COMP_04</t>
  </si>
  <si>
    <t>Folha 14</t>
  </si>
  <si>
    <t>Forma das laterais</t>
  </si>
  <si>
    <t>Forma da parte posterior</t>
  </si>
  <si>
    <t xml:space="preserve">Forma da parte frontal </t>
  </si>
  <si>
    <t>Área das laterais</t>
  </si>
  <si>
    <t xml:space="preserve">Área da parte frontal </t>
  </si>
  <si>
    <t>Área da parte posterior</t>
  </si>
  <si>
    <t>Area superior</t>
  </si>
  <si>
    <t>Lona plastica</t>
  </si>
  <si>
    <t>Pintura impermeabilizante com igolflex ou equivalente a 3 demãos</t>
  </si>
  <si>
    <t>Guarda-corpo com vidro laminado</t>
  </si>
  <si>
    <t>Andaime de madeira para altura até 7 m, compreendendo montagem e desmontagem</t>
  </si>
  <si>
    <t>Vão de 21 metros</t>
  </si>
  <si>
    <t>Vão de 25 metros</t>
  </si>
  <si>
    <t>plataforma para trabalho</t>
  </si>
  <si>
    <t>Vidro comum laminado, liso, incolor, triplo, espessura total 12 mm (cada camada e= 4 mm) - colocado</t>
  </si>
  <si>
    <t>execução dos arcos centrais</t>
  </si>
  <si>
    <t>Pintura em estrutura metálica com tinta epoxídica inclusive primer</t>
  </si>
  <si>
    <t>Barreira de proteção</t>
  </si>
  <si>
    <t xml:space="preserve">Muro </t>
  </si>
  <si>
    <t>Pinos de ligação</t>
  </si>
  <si>
    <t>Folha 02</t>
  </si>
  <si>
    <t xml:space="preserve">Solda dos pinas nos perfis </t>
  </si>
  <si>
    <t>DER-ROD</t>
  </si>
  <si>
    <t>DER-EDIF</t>
  </si>
  <si>
    <t>DER-EDF</t>
  </si>
  <si>
    <t>Caixa coletora concreto armado H= 2,00 m, inclusive escavação</t>
  </si>
  <si>
    <t xml:space="preserve">nova caixa a ser executada em local novo </t>
  </si>
  <si>
    <t xml:space="preserve">retirada de  caixa existente </t>
  </si>
  <si>
    <t>Chumbador de expansão controlada por torque para concreto D = 20 mm - fornecimento e instalação</t>
  </si>
  <si>
    <t xml:space="preserve">m </t>
  </si>
  <si>
    <t>(JAN) - 2023</t>
  </si>
  <si>
    <t>Tubo de aço galvanizado D=1 1/2" (1,2esp. 1,09 kg/m. R$73.93/m.)</t>
  </si>
  <si>
    <t>Viga metálica em perfil laminado ou soldado em aço estrutural, com conexões parafusadas, inclusos mão de obra, transporte e içamento utilizando guindaste - fornecimento e instalação</t>
  </si>
  <si>
    <t>Lona plástica preta para isolamento de concretagem sobre solo, fornecimento e colocação</t>
  </si>
  <si>
    <t>Tubo dreno, corrugado, espiralado, flexível, perfurado, em polietileno de alta densidade (PEAD), DN *160* mm, (6") para drenagem - em barra (norma DNIT 093/2006 - EM)</t>
  </si>
  <si>
    <t xml:space="preserve"> Fornecimento e aplicação de adesivo estrutural à base de resina epóxi</t>
  </si>
  <si>
    <t>2407972</t>
  </si>
  <si>
    <t>Tubo dreno, corrugado, espiralado, flexível, perfurado, em polietileno de alta densidade (pead), dn 160 mm</t>
  </si>
  <si>
    <t>COMP_05</t>
  </si>
  <si>
    <t>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</si>
  <si>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</si>
  <si>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</si>
  <si>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</si>
  <si>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</si>
  <si>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</si>
  <si>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</si>
  <si>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</si>
  <si>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</si>
  <si>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</si>
  <si>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</si>
  <si>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</si>
  <si>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</si>
  <si>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</si>
  <si>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</si>
  <si>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</si>
  <si>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</si>
  <si>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3.1.1</t>
  </si>
  <si>
    <t>3.1.2</t>
  </si>
  <si>
    <t>3.1.3</t>
  </si>
  <si>
    <t>3.1.4</t>
  </si>
  <si>
    <t>3.1.5</t>
  </si>
  <si>
    <t>3.1.6</t>
  </si>
  <si>
    <t>3.1.7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</si>
  <si>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</si>
  <si>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</si>
  <si>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</si>
  <si>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</si>
  <si>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</si>
  <si>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</si>
  <si>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</si>
  <si>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</si>
  <si>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</si>
  <si>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</si>
  <si>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</si>
  <si>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</si>
  <si>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</si>
  <si>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</si>
  <si>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</si>
  <si>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</si>
  <si>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</si>
  <si>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</si>
  <si>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</si>
  <si>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</si>
  <si>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</si>
  <si>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</si>
  <si>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</si>
  <si>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</si>
  <si>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</si>
  <si>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</si>
  <si>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</si>
  <si>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</si>
  <si>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</si>
  <si>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</si>
  <si>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</si>
  <si>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</si>
  <si>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</si>
  <si>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</si>
  <si>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6.1.1</t>
  </si>
  <si>
    <t>6.1.2</t>
  </si>
  <si>
    <t>6.1.3</t>
  </si>
  <si>
    <t>6.2.1</t>
  </si>
  <si>
    <t>6.2.2</t>
  </si>
  <si>
    <t>6.2.3</t>
  </si>
  <si>
    <t>6.2.4</t>
  </si>
  <si>
    <t>7</t>
  </si>
  <si>
    <t>SERVIÇOS PRELIMINARES</t>
  </si>
  <si>
    <t>01.050.0232-0</t>
  </si>
  <si>
    <t xml:space="preserve">Ponte </t>
  </si>
  <si>
    <t>Inspeção das fundações da ponte</t>
  </si>
  <si>
    <t>Reaterro de cavas c/ compactação mecânica (compactador manual)</t>
  </si>
  <si>
    <t>Engenheiro pleno</t>
  </si>
  <si>
    <t>COMP_06</t>
  </si>
  <si>
    <t>Ensecadeira simples de madeira esp.= 5 cm com 1 reaproveitamento, inclusive transporte das
madeiras</t>
  </si>
  <si>
    <t>2.20</t>
  </si>
  <si>
    <t>Mobilização e desmobilização de container de 51 km até 150 km</t>
  </si>
  <si>
    <t>Ud</t>
  </si>
  <si>
    <t>Mobilização e desmobilização de caminhão basculante (máximo)</t>
  </si>
  <si>
    <t>3.1.8</t>
  </si>
  <si>
    <t>3.2.8</t>
  </si>
  <si>
    <t>Sinalização noturna ( fio com lâmpada e balde ), fornecimento e instalação</t>
  </si>
  <si>
    <t>6.1.4</t>
  </si>
  <si>
    <t xml:space="preserve">          Recuperação estrutural</t>
  </si>
  <si>
    <t>CGCIT</t>
  </si>
  <si>
    <t>DNIT</t>
  </si>
  <si>
    <t>SISTEMA DE CUSTOS REFERENCIAIS DE OBRAS - SICRO</t>
  </si>
  <si>
    <t>Espírito Santo</t>
  </si>
  <si>
    <t>Custo Unitário de Referência</t>
  </si>
  <si>
    <t>Janeiro/2023</t>
  </si>
  <si>
    <t xml:space="preserve">Produção da equipe </t>
  </si>
  <si>
    <t>1600438</t>
  </si>
  <si>
    <t>Valores em reais (R$)</t>
  </si>
  <si>
    <t>A - EQUIPAMENTOS</t>
  </si>
  <si>
    <t>Quantidade</t>
  </si>
  <si>
    <t>Utilização</t>
  </si>
  <si>
    <t>Custo</t>
  </si>
  <si>
    <t>Operativa</t>
  </si>
  <si>
    <t>Improdutiva</t>
  </si>
  <si>
    <t>Produtivo</t>
  </si>
  <si>
    <t>Improdutivo</t>
  </si>
  <si>
    <t>Horário Total</t>
  </si>
  <si>
    <t>E9071</t>
  </si>
  <si>
    <t>Transportador manual carrinho de mão com capacidade de 80 l</t>
  </si>
  <si>
    <t>Custo horário total de equipamentos</t>
  </si>
  <si>
    <t>B - MÃO DE OBRA</t>
  </si>
  <si>
    <t>Unidade</t>
  </si>
  <si>
    <t>Custo Horário Total</t>
  </si>
  <si>
    <t>Custo horário total de mão de obra</t>
  </si>
  <si>
    <t>Custo horário total de execução</t>
  </si>
  <si>
    <t>Custo unitário de execução</t>
  </si>
  <si>
    <t>Custo do FIC</t>
  </si>
  <si>
    <t>-</t>
  </si>
  <si>
    <t>Custo do FIT</t>
  </si>
  <si>
    <t>C - MATERIAL</t>
  </si>
  <si>
    <t>Preço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</si>
  <si>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</si>
  <si>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</si>
  <si>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</si>
  <si>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</si>
  <si>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</si>
  <si>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</si>
  <si>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M3512</t>
  </si>
  <si>
    <t>Material demolido - concreto armado - Caminhão basculante 6 m³</t>
  </si>
  <si>
    <t>5915433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</si>
  <si>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</si>
  <si>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</si>
  <si>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</si>
  <si>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</si>
  <si>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</si>
  <si>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</si>
  <si>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</si>
  <si>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5914329</t>
  </si>
  <si>
    <t>5914344</t>
  </si>
  <si>
    <t>Custo unitário total de transporte</t>
  </si>
  <si>
    <t>Custo unitário direto total</t>
  </si>
  <si>
    <t>4915668</t>
  </si>
  <si>
    <t>M3507</t>
  </si>
  <si>
    <t>Revestimento asfáltico - Caminhão basculante 6 m³</t>
  </si>
  <si>
    <t>1416257</t>
  </si>
  <si>
    <t>E9662</t>
  </si>
  <si>
    <t>Equipamento para solda e corte com oxiacetileno</t>
  </si>
  <si>
    <t>P9825</t>
  </si>
  <si>
    <t>M1796</t>
  </si>
  <si>
    <t>Gás acetileno</t>
  </si>
  <si>
    <t>M1795</t>
  </si>
  <si>
    <t>Gás oxigênio</t>
  </si>
  <si>
    <t>M1398</t>
  </si>
  <si>
    <t>Vareta em aço-carbono para solda oxiacetileno AWS A 5.2 R45</t>
  </si>
  <si>
    <t>Vareta em aço-carbono para solda oxiacetileno AWS A 5.2 R45 - Caminhão carroceria 15 t</t>
  </si>
  <si>
    <t>5914655</t>
  </si>
  <si>
    <t>5914449</t>
  </si>
  <si>
    <t>5914464</t>
  </si>
  <si>
    <t>5914479</t>
  </si>
  <si>
    <t>un</t>
  </si>
  <si>
    <t>E9764</t>
  </si>
  <si>
    <t>Grupo gerador - 7,2 kVA</t>
  </si>
  <si>
    <t>E9675</t>
  </si>
  <si>
    <t>Martelete perfurador/rompedor elétrico - 1,50 kW</t>
  </si>
  <si>
    <t>P9801</t>
  </si>
  <si>
    <t>Ajudante</t>
  </si>
  <si>
    <t>M2389</t>
  </si>
  <si>
    <t>Broca de widia - D = 19 mm e C = 160 mm</t>
  </si>
  <si>
    <t>M0410</t>
  </si>
  <si>
    <t>Chumbador de expansão controlada por torque em aço zincado para concreto - D = 20,0 mm</t>
  </si>
  <si>
    <t>Chumbador de expansão controlada por torque em aço zincado para concreto - D = 20,0 mm - Caminhão carroceria 15 t</t>
  </si>
  <si>
    <t>Fornecimento e aplicação de adesivo estrutural à base de resina epóxi</t>
  </si>
  <si>
    <t>P9821</t>
  </si>
  <si>
    <t>Pedreiro</t>
  </si>
  <si>
    <t>M1387</t>
  </si>
  <si>
    <t>Adesivo estrutural à base de resina epóxi de média viscosidade</t>
  </si>
  <si>
    <t>Adesivo estrutural à base de resina epóxi de média viscosidade - Caminhão carroceria 15 t</t>
  </si>
  <si>
    <t>0307735</t>
  </si>
  <si>
    <t>M1150</t>
  </si>
  <si>
    <t>Adesivo estrutural à base de resina epóxi bicomponente tipo ADE-52 ou similar</t>
  </si>
  <si>
    <t>M1142</t>
  </si>
  <si>
    <t>Junta de dilatação em elastômero e perfil VV - L = 35 mm e H = 60 mm</t>
  </si>
  <si>
    <t>Adesivo estrutural à base de resina epóxi bicomponente tipo ADE-52 ou similar - Caminhão carroceria 15 t</t>
  </si>
  <si>
    <t>Junta de dilatação em elastômero e perfil VV - L = 35 mm e H = 60 mm - Caminhão carroceria 15 t</t>
  </si>
  <si>
    <t>0307084</t>
  </si>
  <si>
    <t>E9591</t>
  </si>
  <si>
    <t>Serra para corte de concreto e asfalto - 10 kW</t>
  </si>
  <si>
    <t>M1379</t>
  </si>
  <si>
    <t>Argamassa polimérica monocomponente para reparos estruturais</t>
  </si>
  <si>
    <t>M1385</t>
  </si>
  <si>
    <t>Disco de corte diamantado para concreto e asfalto - D = 350 mm</t>
  </si>
  <si>
    <t>M1391</t>
  </si>
  <si>
    <t>Ponteiro para martelete - D = 22 mm e C = 1,00 m</t>
  </si>
  <si>
    <t>Argamassa polimérica monocomponente para reparos estruturais - Caminhão carroceria 15 t</t>
  </si>
  <si>
    <t>2419790</t>
  </si>
  <si>
    <t>Jateamento de chapa de aço com o uso de granalhas de aço grau SA2 1/2</t>
  </si>
  <si>
    <t>E9641</t>
  </si>
  <si>
    <t>Compressor de ar portátil de 75,04 l/s (159 PCM) - 33 kW</t>
  </si>
  <si>
    <t>E9701</t>
  </si>
  <si>
    <t>Jateador pressurizado multiabrasivo com capacidade de 280 l</t>
  </si>
  <si>
    <t>M0511</t>
  </si>
  <si>
    <t>Abrasivo tipo granalha de aço</t>
  </si>
  <si>
    <t>M0512</t>
  </si>
  <si>
    <t>Bico venturi longo - D = 7,9 mm (5/16")</t>
  </si>
  <si>
    <t>Abrasivo tipo granalha de aço - Caminhão carroceria 15 t</t>
  </si>
  <si>
    <t>BDI:23,32%</t>
  </si>
  <si>
    <t>Preço Unitário Total</t>
  </si>
  <si>
    <t>Códigos</t>
  </si>
  <si>
    <t>Custo Unit (R$)</t>
  </si>
  <si>
    <t>REV_01</t>
  </si>
  <si>
    <t>MATERIAL</t>
  </si>
  <si>
    <t>ORIGEM</t>
  </si>
  <si>
    <t>DESTINO</t>
  </si>
  <si>
    <t>DISTÂNCIAS</t>
  </si>
  <si>
    <t>QUADRO RESUMO DE DISTÂNCIAS DE TRANSPORTE</t>
  </si>
  <si>
    <t>BRITA, RACHÃO, PEDRA DE MÃO E PÓ DE PEDRA</t>
  </si>
  <si>
    <t>ECOBRITA</t>
  </si>
  <si>
    <t>OBRA</t>
  </si>
  <si>
    <t>AREIA</t>
  </si>
  <si>
    <t>MINERAÇÃO RIO DOCE</t>
  </si>
  <si>
    <t>SAIBRO, MATERIAL DE 1ª CATEGORIA</t>
  </si>
  <si>
    <t>JAZIDA</t>
  </si>
  <si>
    <t>CIMENTO</t>
  </si>
  <si>
    <t>CONCRETO USINADO</t>
  </si>
  <si>
    <t>POLIMIX COLATINA</t>
  </si>
  <si>
    <t>MADEIRA</t>
  </si>
  <si>
    <t>COLATINA</t>
  </si>
  <si>
    <t>MATERIAL P/ BOTA-FORA</t>
  </si>
  <si>
    <t>BOTA-FORA</t>
  </si>
  <si>
    <t>RCC</t>
  </si>
  <si>
    <t>COLATINA AMBIENTAL</t>
  </si>
  <si>
    <t>VITÓRIA</t>
  </si>
  <si>
    <t>DEMAIS MATERIAIS DE CONSTRUÇÃO</t>
  </si>
  <si>
    <t>COMPONENTES ESTRUTURAIS PARA RECUPERAÇÃO E CONSTRUÇÃO DE OAE</t>
  </si>
  <si>
    <t>MATERIAIS DE SINALIZAÇÃO</t>
  </si>
  <si>
    <t>SINALES</t>
  </si>
  <si>
    <t xml:space="preserve"> Concreto estrutural usinado Fck=40 MPa, tudo incluído, inclusive bombeamento.</t>
  </si>
  <si>
    <t>Vibrador de imersao AA67 c/ mangote, marca de
referência ATLAS COPCO ou equivalente</t>
  </si>
  <si>
    <t xml:space="preserve">Pedreiro de O.A.C. </t>
  </si>
  <si>
    <t>Bombeamento de concreto</t>
  </si>
  <si>
    <t>Concreto pronto - 40 MPa - DT = 50 km</t>
  </si>
  <si>
    <t>BDI = 23,32%</t>
  </si>
  <si>
    <t>PREÇO UNITÁRIO TOTAL</t>
  </si>
  <si>
    <t>PLANILHA DE REAJUSTE DE PREÇOS</t>
  </si>
  <si>
    <t>DATA-BASE ORIGEM</t>
  </si>
  <si>
    <t>DATA-BASE ORÇAMENTO</t>
  </si>
  <si>
    <t>ÍNDICE DE REAJUSTAMENTO</t>
  </si>
  <si>
    <t>ÍNDICE DATA-BASE ORIGEM</t>
  </si>
  <si>
    <t>ÍNDICE DATA-BASE ORÇAMENTO</t>
  </si>
  <si>
    <t>02980-E</t>
  </si>
  <si>
    <t>CIMENTO IMPERMEABILIZANTE CRISTALIZANTE</t>
  </si>
  <si>
    <t>REAJUSTE</t>
  </si>
  <si>
    <t>CUSTO REAJUSTADO</t>
  </si>
  <si>
    <t>OBRAS DE ARTE ESPECIAIS (SEM AÇO) .</t>
  </si>
  <si>
    <t>DATA-BASE: JAN/2023</t>
  </si>
  <si>
    <t>Encarregado O.A.E</t>
  </si>
  <si>
    <t>Transporte de elementos para construção de estrutura metálica</t>
  </si>
  <si>
    <t>1,166XP + 1,212XR</t>
  </si>
  <si>
    <t>CORRIMAO SIMPLES EM TUBO DE ACO INOX COM DIAMETRO DE 1.1/2",COM GUARDA-CORPO EM VIDRO,EXCLUSIVE ESTE,FIXADO EM MONTANTES DE TUBO DE ACO INOX COM DIAMETRO DE 1.1/2" COM ACABAMENTO SUPERIOR EM TUBO DE ACO INOX COM DIAMETRO DE 2.1/2".FORNECIMENTO E COLOCACAOObservacao: 3%-DESGASTE DE FERRAMENTAS E EPI</t>
  </si>
  <si>
    <t xml:space="preserve"> 18.016.0225-0</t>
  </si>
  <si>
    <t>INCC</t>
  </si>
  <si>
    <t>CHUMBADOR DE ACO INOXIDAVEL 304,TEC BOLT,TBM 12.100,COMPRIMENTO DE 96MM E DIAMETRO DE 1/2",COM ARRUELA LISA E DE PRESSAO E PORCA,TECNART OU SIMILAR.FORNECIMENTO</t>
  </si>
  <si>
    <t>Un</t>
  </si>
  <si>
    <t>Transporte de materiais  para guarda-corpo</t>
  </si>
  <si>
    <t>UNIDADE: un</t>
  </si>
  <si>
    <t xml:space="preserve">Escavação e carga de material de 1ª categoria com escavadeira </t>
  </si>
  <si>
    <t>PROJETO ESTRUTURAL FINAL DE ENGENHARIA DE OBRAS-DE-ARTE ESPECIAIS (PONTES,VIADUTOS E PASSARELAS) EM CONCRETO ARMADO E/OU PROTENDIDO OU ESTRUTURA DE ACO,COM AREA DE PROJECAO HORIZONTAL DE 501 ATE 5.000M2,APRESENTADO NOS PADROES DA CONTRATANTEObservacao: 9% - DESPESAS ADMINISTRATIVAS E DE MATERIAIS</t>
  </si>
  <si>
    <t>Consultoria, Supervisão e Projeto</t>
  </si>
  <si>
    <t>DEMOLICAO E REMOCAO DE ESTRUTURAS METALICAS TRELICADAS DE VERGALHOES E/OU PERFIS LEVES DE ACO,MEDIDAS PELO PESO REMOVIDO Observacao: 3%-DESGASTE DE FERRAMENTAS E EPI</t>
  </si>
  <si>
    <t>*Valores sem BDI</t>
  </si>
  <si>
    <t>CORTE COM MACARICO MANUAL DE OXIACETILENO,EM CHAPA DE ACO NA ESPESSURA DE 1/2" Observacao: 3%-DESGASTE DE FERRAMENTAS E EPI</t>
  </si>
  <si>
    <t>Corte em concreto com discos diamantados para pisos e lajes profundidade de corte 5 cm</t>
  </si>
  <si>
    <t>3R 10 61 10 00 00 01 10 26</t>
  </si>
  <si>
    <t>TCPO</t>
  </si>
  <si>
    <t xml:space="preserve">PERCUSSAO COM BATIDAS LEVES,SEM RETIRADA DO MATERIAL SOLTO Observacao: 3%-DESGASTE DE FERRAMENTAS E EPI 	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</si>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</sst>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[$-416]mmmm\-yy;@"/>
    <numFmt numFmtId="166" formatCode="_(* #,##0.00_);_(* \(#,##0.00\);_(* \-??_);_(@_)"/>
    <numFmt numFmtId="167" formatCode="_-&quot;€ &quot;* #,##0.00_-;&quot;-€ &quot;* #,##0.00_-;_-&quot;€ &quot;* \-??_-;_-@_-"/>
    <numFmt numFmtId="168" formatCode="_(&quot;R$ &quot;* #,##0.00_);_(&quot;R$ &quot;* \(#,##0.00\);_(&quot;R$ &quot;* &quot;-&quot;??_);_(@_)"/>
    <numFmt numFmtId="169" formatCode="&quot;R$&quot;\ #,##0.00"/>
    <numFmt numFmtId="170" formatCode="#,##0.00_ ;\-#,##0.00\ "/>
    <numFmt numFmtId="171" formatCode="0.0%"/>
    <numFmt numFmtId="172" formatCode="0.0"/>
    <numFmt numFmtId="173" formatCode="0.0000"/>
    <numFmt numFmtId="174" formatCode="&quot; R$&quot;* #,##0.00&quot; &quot;;&quot; R$&quot;* \(#,##0.00\);&quot; R$&quot;* &quot;-&quot;??&quot; &quot;"/>
    <numFmt numFmtId="175" formatCode="#.##"/>
    <numFmt numFmtId="176" formatCode="#\,##0.00"/>
    <numFmt numFmtId="177" formatCode="\$#.00"/>
    <numFmt numFmtId="178" formatCode="\$#."/>
    <numFmt numFmtId="179" formatCode="_([$€]* #,##0.00_);_([$€]* \(#,##0.00\);_([$€]* &quot;-&quot;??_);_(@_)"/>
    <numFmt numFmtId="180" formatCode="[$R$-416]&quot; &quot;#,##0.00;[Red]&quot;-&quot;[$R$-416]&quot; &quot;#,##0.00"/>
    <numFmt numFmtId="181" formatCode="&quot;R$ &quot;#,##0.00_);[Red]\(&quot;R$ &quot;#,##0.00\)"/>
    <numFmt numFmtId="182" formatCode="_(&quot;R$ &quot;* #,##0_);_(&quot;R$ &quot;* \(#,##0\);_(&quot;R$ &quot;* &quot;-&quot;_);_(@_)"/>
    <numFmt numFmtId="183" formatCode="&quot;R$ &quot;#,##0.00_);\(&quot;R$ &quot;#,##0.00\)"/>
    <numFmt numFmtId="184" formatCode="#.00"/>
    <numFmt numFmtId="185" formatCode="[$-416]General"/>
    <numFmt numFmtId="186" formatCode="_(&quot;R$&quot;* #,##0.00_);_(&quot;R$&quot;* \(#,##0.00\);_(&quot;R$&quot;* &quot;-&quot;??_);_(@_)"/>
    <numFmt numFmtId="187" formatCode="&quot; R$ &quot;#,##0.00&quot; &quot;;&quot; R$ (&quot;#,##0.00&quot;)&quot;;&quot; R$ -&quot;#&quot; &quot;;@&quot; &quot;"/>
    <numFmt numFmtId="188" formatCode="\$#,##0\ ;\(\$#,##0\)"/>
    <numFmt numFmtId="189" formatCode="&quot;R$&quot;\ #,##0_);[Red]\(&quot;R$&quot;\ #,##0\)"/>
    <numFmt numFmtId="190" formatCode="&quot;R$&quot;\ #,##0.00_);\(&quot;R$&quot;\ #,##0.00\)"/>
    <numFmt numFmtId="191" formatCode="_(&quot;Cr$&quot;* #,##0.00_);_(&quot;Cr$&quot;* \(#,##0.00\);_(&quot;Cr$&quot;* &quot;-&quot;??_);_(@_)"/>
    <numFmt numFmtId="192" formatCode="%#.00"/>
    <numFmt numFmtId="193" formatCode="[$-416]0%"/>
    <numFmt numFmtId="194" formatCode="#,"/>
    <numFmt numFmtId="195" formatCode="#,##0.00&quot; &quot;;&quot; (&quot;#,##0.00&quot;)&quot;;&quot; -&quot;#&quot; &quot;;@&quot; &quot;"/>
    <numFmt numFmtId="196" formatCode="#,##0.00000"/>
    <numFmt numFmtId="197" formatCode="_(* #,##0_);_(* \(#,##0\);_(* &quot;-&quot;??_);_(@_)"/>
    <numFmt numFmtId="198" formatCode="0.0000%"/>
    <numFmt numFmtId="199" formatCode="_-[$R$-416]\ * #,##0.00_-;\-[$R$-416]\ * #,##0.00_-;_-[$R$-416]\ * &quot;-&quot;??_-;_-@_-"/>
    <numFmt numFmtId="200" formatCode="#,##0.000000"/>
    <numFmt numFmtId="201" formatCode="#,##0.0000000"/>
    <numFmt numFmtId="202" formatCode="0.000"/>
    <numFmt numFmtId="203" formatCode="#,##0.0000"/>
    <numFmt numFmtId="204" formatCode="mm/yyyy"/>
  </numFmts>
  <fonts count="9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 Narrow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.5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0"/>
      <color indexed="10"/>
      <name val="Arial"/>
      <family val="2"/>
    </font>
    <font>
      <sz val="12"/>
      <color indexed="8"/>
      <name val="Verdana"/>
      <family val="2"/>
    </font>
    <font>
      <sz val="11"/>
      <color indexed="8"/>
      <name val="Arial"/>
      <family val="2"/>
    </font>
    <font>
      <sz val="12"/>
      <color indexed="8"/>
      <name val="Verdana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2"/>
      <name val="Helv"/>
    </font>
    <font>
      <b/>
      <i/>
      <sz val="16"/>
      <color indexed="8"/>
      <name val="Arial"/>
      <family val="2"/>
    </font>
    <font>
      <sz val="10"/>
      <name val="Courier"/>
      <family val="3"/>
    </font>
    <font>
      <sz val="11"/>
      <name val="‚l‚r ‚oƒSƒVƒbƒN"/>
      <family val="3"/>
      <charset val="128"/>
    </font>
    <font>
      <b/>
      <sz val="11"/>
      <name val="Helv"/>
    </font>
    <font>
      <sz val="11"/>
      <name val="‚l‚r ‚o–¾’©"/>
      <family val="1"/>
      <charset val="128"/>
    </font>
    <font>
      <b/>
      <i/>
      <u/>
      <sz val="11"/>
      <color indexed="8"/>
      <name val="Arial"/>
      <family val="2"/>
    </font>
    <font>
      <sz val="1"/>
      <color indexed="18"/>
      <name val="Courier"/>
      <family val="3"/>
    </font>
    <font>
      <sz val="10"/>
      <name val="MS Sans Serif"/>
      <family val="2"/>
    </font>
    <font>
      <b/>
      <sz val="1"/>
      <color indexed="8"/>
      <name val="Courier"/>
      <family val="3"/>
    </font>
    <font>
      <sz val="11"/>
      <color indexed="8"/>
      <name val="Times New Roman"/>
      <family val="2"/>
    </font>
    <font>
      <b/>
      <sz val="16"/>
      <color indexed="10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b/>
      <sz val="14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sz val="16"/>
      <color rgb="FF000000"/>
      <name val="Arial"/>
      <family val="2"/>
    </font>
    <font>
      <sz val="11"/>
      <color rgb="FF9C0006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u/>
      <sz val="11"/>
      <color theme="1"/>
      <name val="Arial"/>
      <family val="2"/>
    </font>
    <font>
      <b/>
      <i/>
      <u/>
      <sz val="11"/>
      <color rgb="FF000000"/>
      <name val="Arial"/>
      <family val="2"/>
    </font>
    <font>
      <sz val="10"/>
      <color theme="0" tint="-0.499984740745262"/>
      <name val="Arial"/>
      <family val="2"/>
    </font>
    <font>
      <b/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color theme="0"/>
      <name val="Arial"/>
      <family val="2"/>
    </font>
    <font>
      <sz val="10"/>
      <color theme="3" tint="-0.499984740745262"/>
      <name val="Arial"/>
      <family val="2"/>
    </font>
    <font>
      <b/>
      <sz val="10"/>
      <color theme="3" tint="-0.499984740745262"/>
      <name val="Arial"/>
      <family val="2"/>
    </font>
    <font>
      <i/>
      <sz val="10"/>
      <color theme="3" tint="-0.499984740745262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sz val="7"/>
      <color theme="3" tint="-0.499984740745262"/>
      <name val="Arial"/>
      <family val="2"/>
    </font>
    <font>
      <b/>
      <sz val="12"/>
      <color rgb="FFFF0000"/>
      <name val="Arial"/>
      <family val="2"/>
    </font>
    <font>
      <sz val="10"/>
      <color theme="0" tint="-0.499984740745262"/>
      <name val="Times New Roman"/>
      <family val="1"/>
    </font>
    <font>
      <b/>
      <sz val="7"/>
      <color theme="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sz val="10"/>
      <name val="Times New Roman"/>
      <family val="1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i/>
      <sz val="14"/>
      <color rgb="FF003770"/>
      <name val="Arial Black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1"/>
      <color rgb="FF000000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/>
        <bgColor indexed="64"/>
      </patternFill>
    </fill>
  </fills>
  <borders count="1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ck">
        <color indexed="64"/>
      </right>
      <top style="thin">
        <color theme="0"/>
      </top>
      <bottom/>
      <diagonal/>
    </border>
    <border>
      <left style="thick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ck">
        <color indexed="64"/>
      </left>
      <right style="thin">
        <color theme="0"/>
      </right>
      <top style="thin">
        <color theme="0"/>
      </top>
      <bottom/>
      <diagonal/>
    </border>
    <border>
      <left style="thick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indexed="64"/>
      </right>
      <top/>
      <bottom/>
      <diagonal/>
    </border>
    <border>
      <left style="thin">
        <color theme="0"/>
      </left>
      <right style="thick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 style="thick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</borders>
  <cellStyleXfs count="997">
    <xf numFmtId="0" fontId="0" fillId="0" borderId="0"/>
    <xf numFmtId="0" fontId="9" fillId="2" borderId="0" applyNumberFormat="0" applyBorder="0" applyAlignment="0" applyProtection="0"/>
    <xf numFmtId="0" fontId="4" fillId="2" borderId="0" applyNumberFormat="0" applyBorder="0" applyAlignment="0" applyProtection="0"/>
    <xf numFmtId="0" fontId="9" fillId="3" borderId="0" applyNumberFormat="0" applyBorder="0" applyAlignment="0" applyProtection="0"/>
    <xf numFmtId="0" fontId="4" fillId="3" borderId="0" applyNumberFormat="0" applyBorder="0" applyAlignment="0" applyProtection="0"/>
    <xf numFmtId="0" fontId="9" fillId="4" borderId="0" applyNumberFormat="0" applyBorder="0" applyAlignment="0" applyProtection="0"/>
    <xf numFmtId="0" fontId="4" fillId="4" borderId="0" applyNumberFormat="0" applyBorder="0" applyAlignment="0" applyProtection="0"/>
    <xf numFmtId="0" fontId="9" fillId="5" borderId="0" applyNumberFormat="0" applyBorder="0" applyAlignment="0" applyProtection="0"/>
    <xf numFmtId="0" fontId="4" fillId="5" borderId="0" applyNumberFormat="0" applyBorder="0" applyAlignment="0" applyProtection="0"/>
    <xf numFmtId="0" fontId="9" fillId="6" borderId="0" applyNumberFormat="0" applyBorder="0" applyAlignment="0" applyProtection="0"/>
    <xf numFmtId="0" fontId="4" fillId="6" borderId="0" applyNumberFormat="0" applyBorder="0" applyAlignment="0" applyProtection="0"/>
    <xf numFmtId="0" fontId="9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9" fillId="14" borderId="0" applyNumberFormat="0" applyBorder="0" applyAlignment="0" applyProtection="0"/>
    <xf numFmtId="0" fontId="4" fillId="14" borderId="0" applyNumberFormat="0" applyBorder="0" applyAlignment="0" applyProtection="0"/>
    <xf numFmtId="0" fontId="9" fillId="15" borderId="0" applyNumberFormat="0" applyBorder="0" applyAlignment="0" applyProtection="0"/>
    <xf numFmtId="0" fontId="4" fillId="15" borderId="0" applyNumberFormat="0" applyBorder="0" applyAlignment="0" applyProtection="0"/>
    <xf numFmtId="0" fontId="9" fillId="16" borderId="0" applyNumberFormat="0" applyBorder="0" applyAlignment="0" applyProtection="0"/>
    <xf numFmtId="0" fontId="4" fillId="16" borderId="0" applyNumberFormat="0" applyBorder="0" applyAlignment="0" applyProtection="0"/>
    <xf numFmtId="0" fontId="9" fillId="5" borderId="0" applyNumberFormat="0" applyBorder="0" applyAlignment="0" applyProtection="0"/>
    <xf numFmtId="0" fontId="4" fillId="5" borderId="0" applyNumberFormat="0" applyBorder="0" applyAlignment="0" applyProtection="0"/>
    <xf numFmtId="0" fontId="9" fillId="14" borderId="0" applyNumberFormat="0" applyBorder="0" applyAlignment="0" applyProtection="0"/>
    <xf numFmtId="0" fontId="4" fillId="14" borderId="0" applyNumberFormat="0" applyBorder="0" applyAlignment="0" applyProtection="0"/>
    <xf numFmtId="0" fontId="9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33" borderId="0" applyNumberFormat="0" applyBorder="0" applyAlignment="0" applyProtection="0"/>
    <xf numFmtId="0" fontId="11" fillId="0" borderId="1" applyNumberFormat="0" applyFont="0" applyAlignment="0">
      <alignment horizontal="left" vertical="top" indent="1"/>
    </xf>
    <xf numFmtId="0" fontId="11" fillId="0" borderId="1" applyNumberFormat="0" applyFont="0" applyAlignment="0">
      <alignment horizontal="left" vertical="top" indent="1"/>
    </xf>
    <xf numFmtId="0" fontId="12" fillId="3" borderId="0" applyNumberFormat="0" applyBorder="0" applyAlignment="0" applyProtection="0"/>
    <xf numFmtId="0" fontId="16" fillId="10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34" borderId="2" applyNumberFormat="0" applyAlignment="0" applyProtection="0"/>
    <xf numFmtId="0" fontId="13" fillId="34" borderId="2" applyNumberFormat="0" applyAlignment="0" applyProtection="0"/>
    <xf numFmtId="0" fontId="13" fillId="35" borderId="2" applyNumberFormat="0" applyAlignment="0" applyProtection="0"/>
    <xf numFmtId="0" fontId="13" fillId="35" borderId="2" applyNumberFormat="0" applyAlignment="0" applyProtection="0"/>
    <xf numFmtId="0" fontId="14" fillId="37" borderId="3" applyNumberFormat="0" applyAlignment="0" applyProtection="0"/>
    <xf numFmtId="0" fontId="21" fillId="0" borderId="4" applyNumberFormat="0" applyFill="0" applyAlignment="0" applyProtection="0"/>
    <xf numFmtId="0" fontId="14" fillId="36" borderId="3" applyNumberFormat="0" applyAlignment="0" applyProtection="0"/>
    <xf numFmtId="176" fontId="44" fillId="0" borderId="0">
      <protection locked="0"/>
    </xf>
    <xf numFmtId="166" fontId="7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3" fontId="45" fillId="0" borderId="0" applyFont="0" applyFill="0" applyBorder="0" applyAlignment="0" applyProtection="0"/>
    <xf numFmtId="177" fontId="44" fillId="0" borderId="0">
      <protection locked="0"/>
    </xf>
    <xf numFmtId="178" fontId="44" fillId="0" borderId="0">
      <protection locked="0"/>
    </xf>
    <xf numFmtId="0" fontId="46" fillId="0" borderId="0" applyFont="0" applyFill="0" applyBorder="0" applyAlignment="0" applyProtection="0"/>
    <xf numFmtId="0" fontId="44" fillId="0" borderId="0">
      <protection locked="0"/>
    </xf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41" borderId="0" applyNumberFormat="0" applyBorder="0" applyAlignment="0" applyProtection="0"/>
    <xf numFmtId="0" fontId="20" fillId="13" borderId="2" applyNumberFormat="0" applyAlignment="0" applyProtection="0"/>
    <xf numFmtId="0" fontId="20" fillId="13" borderId="2" applyNumberFormat="0" applyAlignment="0" applyProtection="0"/>
    <xf numFmtId="167" fontId="7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79" fontId="5" fillId="0" borderId="0" applyFont="0" applyFill="0" applyBorder="0" applyAlignment="0" applyProtection="0"/>
    <xf numFmtId="167" fontId="5" fillId="0" borderId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ill="0" applyBorder="0" applyAlignment="0" applyProtection="0"/>
    <xf numFmtId="180" fontId="5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0" fontId="5" fillId="0" borderId="0" applyFont="0" applyFill="0" applyBorder="0" applyAlignment="0" applyProtection="0"/>
    <xf numFmtId="181" fontId="63" fillId="0" borderId="0"/>
    <xf numFmtId="182" fontId="63" fillId="0" borderId="0"/>
    <xf numFmtId="183" fontId="63" fillId="0" borderId="0"/>
    <xf numFmtId="0" fontId="15" fillId="0" borderId="0" applyNumberFormat="0" applyFill="0" applyBorder="0" applyAlignment="0" applyProtection="0"/>
    <xf numFmtId="184" fontId="44" fillId="0" borderId="0">
      <protection locked="0"/>
    </xf>
    <xf numFmtId="2" fontId="46" fillId="0" borderId="0" applyFont="0" applyFill="0" applyBorder="0" applyAlignment="0" applyProtection="0"/>
    <xf numFmtId="0" fontId="16" fillId="4" borderId="0" applyNumberFormat="0" applyBorder="0" applyAlignment="0" applyProtection="0"/>
    <xf numFmtId="0" fontId="47" fillId="0" borderId="0">
      <alignment horizontal="left"/>
    </xf>
    <xf numFmtId="180" fontId="47" fillId="0" borderId="0">
      <alignment horizontal="left"/>
    </xf>
    <xf numFmtId="0" fontId="64" fillId="0" borderId="0">
      <alignment horizontal="center"/>
    </xf>
    <xf numFmtId="0" fontId="17" fillId="0" borderId="5" applyNumberFormat="0" applyFill="0" applyAlignment="0" applyProtection="0"/>
    <xf numFmtId="180" fontId="65" fillId="0" borderId="0">
      <alignment horizontal="center"/>
    </xf>
    <xf numFmtId="185" fontId="65" fillId="0" borderId="0">
      <alignment horizontal="center"/>
    </xf>
    <xf numFmtId="0" fontId="48" fillId="0" borderId="0">
      <alignment horizontal="center"/>
    </xf>
    <xf numFmtId="0" fontId="18" fillId="0" borderId="6" applyNumberFormat="0" applyFill="0" applyAlignment="0" applyProtection="0"/>
    <xf numFmtId="180" fontId="64" fillId="0" borderId="0">
      <alignment horizontal="center"/>
    </xf>
    <xf numFmtId="0" fontId="19" fillId="0" borderId="7" applyNumberFormat="0" applyFill="0" applyAlignment="0" applyProtection="0"/>
    <xf numFmtId="180" fontId="64" fillId="0" borderId="0">
      <alignment horizontal="center"/>
    </xf>
    <xf numFmtId="0" fontId="19" fillId="0" borderId="0" applyNumberFormat="0" applyFill="0" applyBorder="0" applyAlignment="0" applyProtection="0"/>
    <xf numFmtId="0" fontId="48" fillId="0" borderId="0">
      <alignment horizontal="center"/>
    </xf>
    <xf numFmtId="0" fontId="64" fillId="0" borderId="0">
      <alignment horizontal="center" textRotation="90"/>
    </xf>
    <xf numFmtId="185" fontId="65" fillId="0" borderId="0">
      <alignment horizontal="center" textRotation="90"/>
    </xf>
    <xf numFmtId="180" fontId="65" fillId="0" borderId="0">
      <alignment horizontal="center" textRotation="90"/>
    </xf>
    <xf numFmtId="0" fontId="48" fillId="0" borderId="0">
      <alignment horizontal="center" textRotation="90"/>
    </xf>
    <xf numFmtId="180" fontId="64" fillId="0" borderId="0">
      <alignment horizontal="center" textRotation="90"/>
    </xf>
    <xf numFmtId="180" fontId="64" fillId="0" borderId="0">
      <alignment horizontal="center" textRotation="90"/>
    </xf>
    <xf numFmtId="0" fontId="48" fillId="0" borderId="0">
      <alignment horizontal="center" textRotation="90"/>
    </xf>
    <xf numFmtId="0" fontId="66" fillId="47" borderId="0" applyNumberFormat="0" applyBorder="0" applyAlignment="0" applyProtection="0"/>
    <xf numFmtId="0" fontId="12" fillId="9" borderId="0" applyNumberFormat="0" applyBorder="0" applyAlignment="0" applyProtection="0"/>
    <xf numFmtId="0" fontId="49" fillId="0" borderId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0" borderId="4" applyNumberFormat="0" applyFill="0" applyAlignment="0" applyProtection="0"/>
    <xf numFmtId="38" fontId="50" fillId="0" borderId="0" applyFont="0" applyFill="0" applyBorder="0" applyAlignment="0" applyProtection="0"/>
    <xf numFmtId="40" fontId="50" fillId="0" borderId="0" applyFont="0" applyFill="0" applyBorder="0" applyAlignment="0" applyProtection="0"/>
    <xf numFmtId="0" fontId="51" fillId="0" borderId="8"/>
    <xf numFmtId="180" fontId="51" fillId="0" borderId="8"/>
    <xf numFmtId="44" fontId="33" fillId="0" borderId="0" applyFont="0" applyFill="0" applyBorder="0" applyAlignment="0" applyProtection="0"/>
    <xf numFmtId="186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5" fillId="0" borderId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87" fontId="63" fillId="0" borderId="0"/>
    <xf numFmtId="187" fontId="63" fillId="0" borderId="0"/>
    <xf numFmtId="187" fontId="63" fillId="0" borderId="0"/>
    <xf numFmtId="187" fontId="4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168" fontId="5" fillId="0" borderId="0" applyFont="0" applyFill="0" applyBorder="0" applyAlignment="0" applyProtection="0"/>
    <xf numFmtId="44" fontId="5" fillId="0" borderId="0" applyFill="0" applyBorder="0" applyAlignment="0" applyProtection="0"/>
    <xf numFmtId="168" fontId="37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37" fillId="0" borderId="0" applyFont="0" applyFill="0" applyBorder="0" applyAlignment="0" applyProtection="0"/>
    <xf numFmtId="187" fontId="63" fillId="0" borderId="0"/>
    <xf numFmtId="168" fontId="5" fillId="0" borderId="0" applyFont="0" applyFill="0" applyBorder="0" applyAlignment="0" applyProtection="0"/>
    <xf numFmtId="187" fontId="63" fillId="0" borderId="0"/>
    <xf numFmtId="187" fontId="63" fillId="0" borderId="0"/>
    <xf numFmtId="187" fontId="63" fillId="0" borderId="0"/>
    <xf numFmtId="44" fontId="5" fillId="0" borderId="0" applyFont="0" applyFill="0" applyBorder="0" applyAlignment="0" applyProtection="0"/>
    <xf numFmtId="187" fontId="4" fillId="0" borderId="0"/>
    <xf numFmtId="187" fontId="63" fillId="0" borderId="0"/>
    <xf numFmtId="187" fontId="63" fillId="0" borderId="0"/>
    <xf numFmtId="187" fontId="63" fillId="0" borderId="0"/>
    <xf numFmtId="187" fontId="63" fillId="0" borderId="0"/>
    <xf numFmtId="187" fontId="4" fillId="0" borderId="0"/>
    <xf numFmtId="187" fontId="4" fillId="0" borderId="0"/>
    <xf numFmtId="187" fontId="63" fillId="0" borderId="0"/>
    <xf numFmtId="187" fontId="63" fillId="0" borderId="0"/>
    <xf numFmtId="187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8" fontId="46" fillId="0" borderId="0" applyFont="0" applyFill="0" applyBorder="0" applyAlignment="0" applyProtection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5" fillId="0" borderId="0"/>
    <xf numFmtId="180" fontId="5" fillId="0" borderId="0"/>
    <xf numFmtId="0" fontId="5" fillId="0" borderId="0"/>
    <xf numFmtId="0" fontId="5" fillId="0" borderId="0"/>
    <xf numFmtId="180" fontId="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5" fillId="0" borderId="0"/>
    <xf numFmtId="180" fontId="5" fillId="0" borderId="0"/>
    <xf numFmtId="180" fontId="5" fillId="0" borderId="0"/>
    <xf numFmtId="0" fontId="5" fillId="0" borderId="0"/>
    <xf numFmtId="0" fontId="5" fillId="0" borderId="0"/>
    <xf numFmtId="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" fillId="0" borderId="0"/>
    <xf numFmtId="180" fontId="5" fillId="0" borderId="0"/>
    <xf numFmtId="180" fontId="5" fillId="0" borderId="0"/>
    <xf numFmtId="180" fontId="5" fillId="0" borderId="0"/>
    <xf numFmtId="0" fontId="41" fillId="0" borderId="0" applyNumberFormat="0" applyFill="0" applyBorder="0" applyProtection="0">
      <alignment vertical="top" wrapText="1"/>
    </xf>
    <xf numFmtId="0" fontId="41" fillId="0" borderId="0" applyNumberFormat="0" applyFill="0" applyBorder="0" applyProtection="0">
      <alignment vertical="top" wrapText="1"/>
    </xf>
    <xf numFmtId="0" fontId="41" fillId="0" borderId="0" applyNumberFormat="0" applyFill="0" applyBorder="0" applyProtection="0">
      <alignment vertical="top" wrapText="1"/>
    </xf>
    <xf numFmtId="0" fontId="41" fillId="0" borderId="0" applyNumberFormat="0" applyFill="0" applyBorder="0" applyProtection="0">
      <alignment vertical="top" wrapText="1"/>
    </xf>
    <xf numFmtId="0" fontId="62" fillId="0" borderId="0"/>
    <xf numFmtId="0" fontId="62" fillId="0" borderId="0"/>
    <xf numFmtId="0" fontId="41" fillId="0" borderId="0" applyNumberFormat="0" applyFill="0" applyBorder="0" applyProtection="0">
      <alignment vertical="top" wrapText="1"/>
    </xf>
    <xf numFmtId="0" fontId="9" fillId="0" borderId="0"/>
    <xf numFmtId="0" fontId="4" fillId="0" borderId="0"/>
    <xf numFmtId="0" fontId="5" fillId="0" borderId="0"/>
    <xf numFmtId="0" fontId="5" fillId="0" borderId="0"/>
    <xf numFmtId="180" fontId="5" fillId="0" borderId="0"/>
    <xf numFmtId="0" fontId="5" fillId="0" borderId="0"/>
    <xf numFmtId="180" fontId="5" fillId="0" borderId="0"/>
    <xf numFmtId="185" fontId="67" fillId="0" borderId="0"/>
    <xf numFmtId="180" fontId="67" fillId="0" borderId="0"/>
    <xf numFmtId="0" fontId="28" fillId="0" borderId="0"/>
    <xf numFmtId="185" fontId="67" fillId="0" borderId="0"/>
    <xf numFmtId="180" fontId="67" fillId="0" borderId="0"/>
    <xf numFmtId="0" fontId="28" fillId="0" borderId="0"/>
    <xf numFmtId="0" fontId="5" fillId="0" borderId="0"/>
    <xf numFmtId="180" fontId="5" fillId="0" borderId="0"/>
    <xf numFmtId="0" fontId="5" fillId="0" borderId="0"/>
    <xf numFmtId="180" fontId="5" fillId="0" borderId="0"/>
    <xf numFmtId="0" fontId="5" fillId="0" borderId="0"/>
    <xf numFmtId="180" fontId="5" fillId="0" borderId="0"/>
    <xf numFmtId="180" fontId="5" fillId="0" borderId="0"/>
    <xf numFmtId="0" fontId="41" fillId="0" borderId="0" applyNumberFormat="0" applyFill="0" applyBorder="0" applyProtection="0">
      <alignment vertical="top" wrapText="1"/>
    </xf>
    <xf numFmtId="0" fontId="5" fillId="0" borderId="0"/>
    <xf numFmtId="0" fontId="62" fillId="0" borderId="0"/>
    <xf numFmtId="0" fontId="41" fillId="0" borderId="0" applyNumberFormat="0" applyFill="0" applyBorder="0" applyProtection="0">
      <alignment vertical="top" wrapText="1"/>
    </xf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9" fillId="0" borderId="0" applyNumberFormat="0" applyFill="0" applyBorder="0" applyProtection="0">
      <alignment vertical="top" wrapText="1"/>
    </xf>
    <xf numFmtId="0" fontId="62" fillId="0" borderId="0"/>
    <xf numFmtId="0" fontId="62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80" fontId="67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85" fontId="67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28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85" fontId="67" fillId="0" borderId="0"/>
    <xf numFmtId="0" fontId="62" fillId="0" borderId="0"/>
    <xf numFmtId="180" fontId="67" fillId="0" borderId="0"/>
    <xf numFmtId="185" fontId="67" fillId="0" borderId="0"/>
    <xf numFmtId="0" fontId="28" fillId="0" borderId="0"/>
    <xf numFmtId="0" fontId="62" fillId="0" borderId="0"/>
    <xf numFmtId="180" fontId="67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28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8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80" fontId="68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80" fontId="68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80" fontId="69" fillId="0" borderId="0"/>
    <xf numFmtId="0" fontId="5" fillId="0" borderId="0"/>
    <xf numFmtId="185" fontId="69" fillId="0" borderId="0"/>
    <xf numFmtId="0" fontId="40" fillId="0" borderId="0"/>
    <xf numFmtId="185" fontId="67" fillId="0" borderId="0"/>
    <xf numFmtId="185" fontId="67" fillId="0" borderId="0"/>
    <xf numFmtId="180" fontId="67" fillId="0" borderId="0"/>
    <xf numFmtId="0" fontId="28" fillId="0" borderId="0"/>
    <xf numFmtId="180" fontId="67" fillId="0" borderId="0"/>
    <xf numFmtId="0" fontId="28" fillId="0" borderId="0"/>
    <xf numFmtId="0" fontId="62" fillId="0" borderId="0"/>
    <xf numFmtId="18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" fillId="0" borderId="0"/>
    <xf numFmtId="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" fillId="0" borderId="0"/>
    <xf numFmtId="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18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" fillId="0" borderId="0"/>
    <xf numFmtId="0" fontId="5" fillId="0" borderId="0"/>
    <xf numFmtId="0" fontId="36" fillId="0" borderId="0"/>
    <xf numFmtId="0" fontId="5" fillId="45" borderId="9" applyNumberFormat="0" applyAlignment="0" applyProtection="0"/>
    <xf numFmtId="0" fontId="5" fillId="45" borderId="9" applyNumberFormat="0" applyAlignment="0" applyProtection="0"/>
    <xf numFmtId="0" fontId="7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0" fontId="5" fillId="44" borderId="9" applyNumberFormat="0" applyFont="0" applyAlignment="0" applyProtection="0"/>
    <xf numFmtId="40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23" fillId="34" borderId="10" applyNumberFormat="0" applyAlignment="0" applyProtection="0"/>
    <xf numFmtId="0" fontId="23" fillId="34" borderId="10" applyNumberFormat="0" applyAlignment="0" applyProtection="0"/>
    <xf numFmtId="192" fontId="44" fillId="0" borderId="0">
      <protection locked="0"/>
    </xf>
    <xf numFmtId="9" fontId="7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ill="0" applyBorder="0" applyAlignment="0" applyProtection="0"/>
    <xf numFmtId="192" fontId="44" fillId="0" borderId="0">
      <protection locked="0"/>
    </xf>
    <xf numFmtId="176" fontId="44" fillId="0" borderId="0">
      <protection locked="0"/>
    </xf>
    <xf numFmtId="9" fontId="3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" fillId="0" borderId="0" applyFill="0" applyBorder="0" applyAlignment="0" applyProtection="0"/>
    <xf numFmtId="9" fontId="4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80" fontId="63" fillId="0" borderId="0"/>
    <xf numFmtId="9" fontId="5" fillId="0" borderId="0" applyFont="0" applyFill="0" applyBorder="0" applyAlignment="0" applyProtection="0"/>
    <xf numFmtId="193" fontId="63" fillId="0" borderId="0"/>
    <xf numFmtId="0" fontId="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93" fontId="63" fillId="0" borderId="0"/>
    <xf numFmtId="9" fontId="5" fillId="0" borderId="0" applyFont="0" applyFill="0" applyBorder="0" applyAlignment="0" applyProtection="0"/>
    <xf numFmtId="180" fontId="63" fillId="0" borderId="0"/>
    <xf numFmtId="193" fontId="63" fillId="0" borderId="0"/>
    <xf numFmtId="0" fontId="4" fillId="0" borderId="0"/>
    <xf numFmtId="9" fontId="5" fillId="0" borderId="0" applyFont="0" applyFill="0" applyBorder="0" applyAlignment="0" applyProtection="0"/>
    <xf numFmtId="193" fontId="63" fillId="0" borderId="0"/>
    <xf numFmtId="180" fontId="63" fillId="0" borderId="0"/>
    <xf numFmtId="0" fontId="4" fillId="0" borderId="0"/>
    <xf numFmtId="9" fontId="5" fillId="0" borderId="0" applyFont="0" applyFill="0" applyBorder="0" applyAlignment="0" applyProtection="0"/>
    <xf numFmtId="180" fontId="63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80" fontId="63" fillId="0" borderId="0"/>
    <xf numFmtId="193" fontId="63" fillId="0" borderId="0"/>
    <xf numFmtId="0" fontId="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7" fillId="0" borderId="0" applyFont="0" applyFill="0" applyBorder="0" applyAlignment="0" applyProtection="0"/>
    <xf numFmtId="193" fontId="63" fillId="0" borderId="0"/>
    <xf numFmtId="180" fontId="63" fillId="0" borderId="0"/>
    <xf numFmtId="0" fontId="4" fillId="0" borderId="0"/>
    <xf numFmtId="193" fontId="63" fillId="0" borderId="0"/>
    <xf numFmtId="180" fontId="63" fillId="0" borderId="0"/>
    <xf numFmtId="0" fontId="4" fillId="0" borderId="0"/>
    <xf numFmtId="9" fontId="5" fillId="0" borderId="0" applyFont="0" applyFill="0" applyBorder="0" applyAlignment="0" applyProtection="0"/>
    <xf numFmtId="180" fontId="63" fillId="0" borderId="0"/>
    <xf numFmtId="193" fontId="63" fillId="0" borderId="0"/>
    <xf numFmtId="0" fontId="4" fillId="0" borderId="0"/>
    <xf numFmtId="193" fontId="63" fillId="0" borderId="0"/>
    <xf numFmtId="193" fontId="63" fillId="0" borderId="0"/>
    <xf numFmtId="193" fontId="63" fillId="0" borderId="0"/>
    <xf numFmtId="180" fontId="63" fillId="0" borderId="0"/>
    <xf numFmtId="0" fontId="4" fillId="0" borderId="0"/>
    <xf numFmtId="193" fontId="63" fillId="0" borderId="0"/>
    <xf numFmtId="180" fontId="63" fillId="0" borderId="0"/>
    <xf numFmtId="0" fontId="4" fillId="0" borderId="0"/>
    <xf numFmtId="180" fontId="63" fillId="0" borderId="0"/>
    <xf numFmtId="0" fontId="4" fillId="0" borderId="0"/>
    <xf numFmtId="180" fontId="6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93" fontId="63" fillId="0" borderId="0"/>
    <xf numFmtId="193" fontId="63" fillId="0" borderId="0"/>
    <xf numFmtId="180" fontId="63" fillId="0" borderId="0"/>
    <xf numFmtId="0" fontId="4" fillId="0" borderId="0"/>
    <xf numFmtId="180" fontId="63" fillId="0" borderId="0"/>
    <xf numFmtId="0" fontId="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70" fillId="0" borderId="0"/>
    <xf numFmtId="185" fontId="71" fillId="0" borderId="0"/>
    <xf numFmtId="180" fontId="71" fillId="0" borderId="0"/>
    <xf numFmtId="0" fontId="53" fillId="0" borderId="0"/>
    <xf numFmtId="180" fontId="70" fillId="0" borderId="0"/>
    <xf numFmtId="180" fontId="70" fillId="0" borderId="0"/>
    <xf numFmtId="0" fontId="53" fillId="0" borderId="0"/>
    <xf numFmtId="180" fontId="70" fillId="0" borderId="0"/>
    <xf numFmtId="180" fontId="71" fillId="0" borderId="0"/>
    <xf numFmtId="0" fontId="53" fillId="0" borderId="0"/>
    <xf numFmtId="0" fontId="23" fillId="35" borderId="10" applyNumberFormat="0" applyAlignment="0" applyProtection="0"/>
    <xf numFmtId="0" fontId="23" fillId="35" borderId="10" applyNumberFormat="0" applyAlignment="0" applyProtection="0"/>
    <xf numFmtId="194" fontId="54" fillId="0" borderId="0">
      <protection locked="0"/>
    </xf>
    <xf numFmtId="43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5" fillId="0" borderId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5" fillId="0" borderId="0"/>
    <xf numFmtId="0" fontId="51" fillId="0" borderId="0"/>
    <xf numFmtId="180" fontId="51" fillId="0" borderId="0"/>
    <xf numFmtId="0" fontId="2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56" fillId="0" borderId="0">
      <protection locked="0"/>
    </xf>
    <xf numFmtId="0" fontId="56" fillId="0" borderId="0">
      <protection locked="0"/>
    </xf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164" fontId="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5" fillId="0" borderId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5" fontId="63" fillId="0" borderId="0"/>
    <xf numFmtId="164" fontId="5" fillId="0" borderId="0" applyFont="0" applyFill="0" applyBorder="0" applyAlignment="0" applyProtection="0"/>
    <xf numFmtId="195" fontId="63" fillId="0" borderId="0"/>
    <xf numFmtId="195" fontId="63" fillId="0" borderId="0"/>
    <xf numFmtId="195" fontId="4" fillId="0" borderId="0"/>
    <xf numFmtId="164" fontId="5" fillId="0" borderId="0" applyFont="0" applyFill="0" applyBorder="0" applyAlignment="0" applyProtection="0"/>
    <xf numFmtId="195" fontId="4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5" fontId="63" fillId="0" borderId="0"/>
    <xf numFmtId="195" fontId="63" fillId="0" borderId="0"/>
    <xf numFmtId="195" fontId="63" fillId="0" borderId="0"/>
    <xf numFmtId="195" fontId="4" fillId="0" borderId="0"/>
    <xf numFmtId="43" fontId="5" fillId="0" borderId="0" applyFont="0" applyFill="0" applyBorder="0" applyAlignment="0" applyProtection="0"/>
    <xf numFmtId="195" fontId="63" fillId="0" borderId="0"/>
    <xf numFmtId="195" fontId="63" fillId="0" borderId="0"/>
    <xf numFmtId="195" fontId="63" fillId="0" borderId="0"/>
    <xf numFmtId="195" fontId="4" fillId="0" borderId="0"/>
    <xf numFmtId="195" fontId="63" fillId="0" borderId="0"/>
    <xf numFmtId="195" fontId="4" fillId="0" borderId="0"/>
    <xf numFmtId="164" fontId="5" fillId="0" borderId="0" applyFont="0" applyFill="0" applyBorder="0" applyAlignment="0" applyProtection="0"/>
    <xf numFmtId="195" fontId="63" fillId="0" borderId="0"/>
    <xf numFmtId="195" fontId="63" fillId="0" borderId="0"/>
    <xf numFmtId="195" fontId="4" fillId="0" borderId="0"/>
    <xf numFmtId="16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3" fontId="4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89" fillId="0" borderId="0"/>
    <xf numFmtId="0" fontId="2" fillId="0" borderId="0"/>
    <xf numFmtId="0" fontId="1" fillId="0" borderId="0"/>
  </cellStyleXfs>
  <cellXfs count="1181">
    <xf numFmtId="0" fontId="0" fillId="0" borderId="0" xfId="0"/>
    <xf numFmtId="4" fontId="6" fillId="0" borderId="0" xfId="945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4" fontId="29" fillId="0" borderId="14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/>
    </xf>
    <xf numFmtId="4" fontId="5" fillId="0" borderId="0" xfId="945" applyNumberFormat="1" applyFont="1" applyFill="1" applyAlignment="1">
      <alignment horizontal="right" vertical="center"/>
    </xf>
    <xf numFmtId="4" fontId="5" fillId="0" borderId="0" xfId="945" applyNumberFormat="1" applyFont="1" applyFill="1" applyAlignment="1">
      <alignment horizontal="center" vertical="center"/>
    </xf>
    <xf numFmtId="0" fontId="6" fillId="46" borderId="0" xfId="0" applyFont="1" applyFill="1" applyAlignment="1">
      <alignment horizontal="center" vertical="center" wrapText="1"/>
    </xf>
    <xf numFmtId="10" fontId="5" fillId="0" borderId="0" xfId="738" applyNumberFormat="1" applyFont="1" applyAlignment="1">
      <alignment horizontal="center" vertical="center"/>
    </xf>
    <xf numFmtId="10" fontId="29" fillId="0" borderId="15" xfId="0" applyNumberFormat="1" applyFont="1" applyBorder="1" applyAlignment="1">
      <alignment horizontal="right" vertical="center"/>
    </xf>
    <xf numFmtId="170" fontId="31" fillId="0" borderId="15" xfId="945" applyNumberFormat="1" applyFont="1" applyFill="1" applyBorder="1" applyAlignment="1">
      <alignment horizontal="right" vertical="center"/>
    </xf>
    <xf numFmtId="10" fontId="27" fillId="48" borderId="16" xfId="0" applyNumberFormat="1" applyFont="1" applyFill="1" applyBorder="1" applyAlignment="1">
      <alignment horizontal="right" vertical="center"/>
    </xf>
    <xf numFmtId="170" fontId="27" fillId="48" borderId="16" xfId="945" applyNumberFormat="1" applyFont="1" applyFill="1" applyBorder="1" applyAlignment="1">
      <alignment horizontal="right" vertical="center"/>
    </xf>
    <xf numFmtId="170" fontId="27" fillId="48" borderId="17" xfId="945" applyNumberFormat="1" applyFont="1" applyFill="1" applyBorder="1" applyAlignment="1">
      <alignment horizontal="right" vertical="center"/>
    </xf>
    <xf numFmtId="4" fontId="72" fillId="0" borderId="0" xfId="0" applyNumberFormat="1" applyFont="1" applyAlignment="1">
      <alignment horizontal="center" vertical="center"/>
    </xf>
    <xf numFmtId="44" fontId="72" fillId="0" borderId="0" xfId="738" applyNumberFormat="1" applyFont="1" applyAlignment="1">
      <alignment horizontal="center" vertical="center"/>
    </xf>
    <xf numFmtId="10" fontId="72" fillId="0" borderId="0" xfId="738" applyNumberFormat="1" applyFont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5" fillId="49" borderId="19" xfId="0" applyFont="1" applyFill="1" applyBorder="1" applyAlignment="1">
      <alignment horizontal="center" vertical="center"/>
    </xf>
    <xf numFmtId="10" fontId="27" fillId="48" borderId="19" xfId="0" applyNumberFormat="1" applyFont="1" applyFill="1" applyBorder="1" applyAlignment="1">
      <alignment horizontal="right" vertical="center"/>
    </xf>
    <xf numFmtId="171" fontId="5" fillId="50" borderId="0" xfId="743" applyNumberFormat="1" applyFont="1" applyFill="1" applyBorder="1" applyAlignment="1">
      <alignment vertical="center"/>
    </xf>
    <xf numFmtId="10" fontId="35" fillId="50" borderId="0" xfId="743" applyNumberFormat="1" applyFont="1" applyFill="1" applyBorder="1" applyAlignment="1">
      <alignment horizontal="right" vertical="center" wrapText="1"/>
    </xf>
    <xf numFmtId="0" fontId="5" fillId="0" borderId="0" xfId="0" applyFont="1"/>
    <xf numFmtId="4" fontId="6" fillId="51" borderId="20" xfId="945" applyNumberFormat="1" applyFont="1" applyFill="1" applyBorder="1" applyAlignment="1">
      <alignment horizontal="center" vertical="center"/>
    </xf>
    <xf numFmtId="4" fontId="28" fillId="0" borderId="0" xfId="0" applyNumberFormat="1" applyFont="1" applyAlignment="1">
      <alignment horizontal="center" vertical="center"/>
    </xf>
    <xf numFmtId="10" fontId="77" fillId="50" borderId="16" xfId="945" applyNumberFormat="1" applyFont="1" applyFill="1" applyBorder="1" applyAlignment="1">
      <alignment horizontal="center" vertical="center"/>
    </xf>
    <xf numFmtId="164" fontId="77" fillId="51" borderId="16" xfId="945" applyFont="1" applyFill="1" applyBorder="1" applyAlignment="1">
      <alignment vertical="center"/>
    </xf>
    <xf numFmtId="164" fontId="77" fillId="50" borderId="16" xfId="945" applyFont="1" applyFill="1" applyBorder="1" applyAlignment="1">
      <alignment vertical="center"/>
    </xf>
    <xf numFmtId="197" fontId="77" fillId="50" borderId="16" xfId="945" applyNumberFormat="1" applyFont="1" applyFill="1" applyBorder="1" applyAlignment="1">
      <alignment horizontal="center" vertical="center"/>
    </xf>
    <xf numFmtId="165" fontId="76" fillId="50" borderId="16" xfId="0" quotePrefix="1" applyNumberFormat="1" applyFont="1" applyFill="1" applyBorder="1" applyAlignment="1">
      <alignment horizontal="center" vertical="center"/>
    </xf>
    <xf numFmtId="4" fontId="6" fillId="50" borderId="0" xfId="0" applyNumberFormat="1" applyFont="1" applyFill="1" applyAlignment="1">
      <alignment horizontal="center" vertical="center"/>
    </xf>
    <xf numFmtId="4" fontId="6" fillId="52" borderId="0" xfId="0" applyNumberFormat="1" applyFont="1" applyFill="1" applyAlignment="1">
      <alignment horizontal="center" vertical="center"/>
    </xf>
    <xf numFmtId="4" fontId="6" fillId="48" borderId="16" xfId="0" applyNumberFormat="1" applyFont="1" applyFill="1" applyBorder="1" applyAlignment="1">
      <alignment horizontal="center" vertical="center"/>
    </xf>
    <xf numFmtId="44" fontId="5" fillId="50" borderId="16" xfId="195" applyFont="1" applyFill="1" applyBorder="1" applyAlignment="1">
      <alignment horizontal="center" vertical="center"/>
    </xf>
    <xf numFmtId="4" fontId="78" fillId="53" borderId="16" xfId="0" applyNumberFormat="1" applyFont="1" applyFill="1" applyBorder="1" applyAlignment="1">
      <alignment horizontal="center" vertical="center" wrapText="1"/>
    </xf>
    <xf numFmtId="4" fontId="5" fillId="50" borderId="0" xfId="0" applyNumberFormat="1" applyFont="1" applyFill="1" applyAlignment="1">
      <alignment horizontal="center" vertical="center"/>
    </xf>
    <xf numFmtId="4" fontId="6" fillId="51" borderId="20" xfId="0" applyNumberFormat="1" applyFont="1" applyFill="1" applyBorder="1" applyAlignment="1">
      <alignment horizontal="center" vertical="center"/>
    </xf>
    <xf numFmtId="44" fontId="76" fillId="50" borderId="21" xfId="195" applyFont="1" applyFill="1" applyBorder="1" applyAlignment="1">
      <alignment horizontal="right" vertical="center"/>
    </xf>
    <xf numFmtId="44" fontId="79" fillId="54" borderId="21" xfId="195" applyFont="1" applyFill="1" applyBorder="1" applyAlignment="1">
      <alignment horizontal="right" vertical="center"/>
    </xf>
    <xf numFmtId="0" fontId="80" fillId="56" borderId="81" xfId="0" applyFont="1" applyFill="1" applyBorder="1" applyAlignment="1">
      <alignment horizontal="center" vertical="center" wrapText="1"/>
    </xf>
    <xf numFmtId="0" fontId="75" fillId="56" borderId="81" xfId="0" applyFont="1" applyFill="1" applyBorder="1" applyAlignment="1">
      <alignment horizontal="center" vertical="center" wrapText="1"/>
    </xf>
    <xf numFmtId="0" fontId="5" fillId="50" borderId="22" xfId="344" applyFill="1" applyBorder="1" applyAlignment="1">
      <alignment horizontal="justify" vertical="center" wrapText="1"/>
    </xf>
    <xf numFmtId="2" fontId="5" fillId="50" borderId="23" xfId="344" applyNumberFormat="1" applyFill="1" applyBorder="1" applyAlignment="1" applyProtection="1">
      <alignment horizontal="right" vertical="center" wrapText="1"/>
      <protection locked="0"/>
    </xf>
    <xf numFmtId="0" fontId="5" fillId="50" borderId="15" xfId="344" applyFill="1" applyBorder="1" applyAlignment="1">
      <alignment horizontal="justify" vertical="center" wrapText="1"/>
    </xf>
    <xf numFmtId="0" fontId="5" fillId="50" borderId="22" xfId="344" applyFill="1" applyBorder="1" applyAlignment="1">
      <alignment horizontal="justify" vertical="center"/>
    </xf>
    <xf numFmtId="2" fontId="5" fillId="50" borderId="23" xfId="344" applyNumberFormat="1" applyFill="1" applyBorder="1" applyAlignment="1">
      <alignment vertical="center"/>
    </xf>
    <xf numFmtId="0" fontId="6" fillId="50" borderId="1" xfId="344" applyFont="1" applyFill="1" applyBorder="1" applyAlignment="1">
      <alignment vertical="center"/>
    </xf>
    <xf numFmtId="0" fontId="6" fillId="50" borderId="18" xfId="344" applyFont="1" applyFill="1" applyBorder="1" applyAlignment="1">
      <alignment vertical="center"/>
    </xf>
    <xf numFmtId="0" fontId="75" fillId="56" borderId="82" xfId="0" applyFont="1" applyFill="1" applyBorder="1" applyAlignment="1">
      <alignment vertical="center" wrapText="1"/>
    </xf>
    <xf numFmtId="0" fontId="82" fillId="50" borderId="16" xfId="597" applyFont="1" applyFill="1" applyBorder="1" applyAlignment="1">
      <alignment horizontal="center" vertical="center"/>
    </xf>
    <xf numFmtId="0" fontId="82" fillId="57" borderId="16" xfId="597" applyFont="1" applyFill="1" applyBorder="1" applyAlignment="1">
      <alignment horizontal="center" vertical="center"/>
    </xf>
    <xf numFmtId="0" fontId="6" fillId="57" borderId="16" xfId="344" applyFont="1" applyFill="1" applyBorder="1" applyAlignment="1">
      <alignment horizontal="center" vertical="center" wrapText="1"/>
    </xf>
    <xf numFmtId="44" fontId="5" fillId="57" borderId="16" xfId="195" applyFont="1" applyFill="1" applyBorder="1" applyAlignment="1">
      <alignment horizontal="center" vertical="center"/>
    </xf>
    <xf numFmtId="0" fontId="6" fillId="50" borderId="24" xfId="344" applyFont="1" applyFill="1" applyBorder="1" applyAlignment="1">
      <alignment horizontal="center" vertical="center" wrapText="1"/>
    </xf>
    <xf numFmtId="0" fontId="82" fillId="57" borderId="25" xfId="597" applyFont="1" applyFill="1" applyBorder="1" applyAlignment="1">
      <alignment horizontal="center" vertical="center"/>
    </xf>
    <xf numFmtId="0" fontId="82" fillId="57" borderId="26" xfId="597" applyFont="1" applyFill="1" applyBorder="1" applyAlignment="1">
      <alignment horizontal="left" vertical="center"/>
    </xf>
    <xf numFmtId="0" fontId="82" fillId="57" borderId="26" xfId="597" applyFont="1" applyFill="1" applyBorder="1" applyAlignment="1">
      <alignment horizontal="center" vertical="center"/>
    </xf>
    <xf numFmtId="0" fontId="82" fillId="50" borderId="26" xfId="597" applyFont="1" applyFill="1" applyBorder="1" applyAlignment="1">
      <alignment horizontal="center" vertical="center"/>
    </xf>
    <xf numFmtId="0" fontId="82" fillId="57" borderId="16" xfId="597" applyFont="1" applyFill="1" applyBorder="1" applyAlignment="1">
      <alignment horizontal="left" vertical="center" wrapText="1"/>
    </xf>
    <xf numFmtId="0" fontId="82" fillId="50" borderId="26" xfId="597" applyFont="1" applyFill="1" applyBorder="1" applyAlignment="1">
      <alignment horizontal="left" vertical="center" wrapText="1"/>
    </xf>
    <xf numFmtId="0" fontId="82" fillId="50" borderId="19" xfId="597" applyFont="1" applyFill="1" applyBorder="1" applyAlignment="1">
      <alignment horizontal="center" vertical="center" wrapText="1"/>
    </xf>
    <xf numFmtId="2" fontId="82" fillId="50" borderId="19" xfId="597" applyNumberFormat="1" applyFont="1" applyFill="1" applyBorder="1" applyAlignment="1">
      <alignment horizontal="center" vertical="center"/>
    </xf>
    <xf numFmtId="2" fontId="82" fillId="50" borderId="28" xfId="597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8" fillId="46" borderId="0" xfId="0" applyFont="1" applyFill="1" applyAlignment="1">
      <alignment vertical="center" wrapText="1"/>
    </xf>
    <xf numFmtId="0" fontId="6" fillId="46" borderId="0" xfId="0" applyFont="1" applyFill="1" applyAlignment="1">
      <alignment vertical="center" wrapText="1"/>
    </xf>
    <xf numFmtId="0" fontId="5" fillId="50" borderId="0" xfId="0" applyFont="1" applyFill="1" applyAlignment="1">
      <alignment horizontal="center" vertical="center"/>
    </xf>
    <xf numFmtId="0" fontId="75" fillId="58" borderId="0" xfId="0" applyFont="1" applyFill="1" applyAlignment="1">
      <alignment vertical="center"/>
    </xf>
    <xf numFmtId="0" fontId="6" fillId="48" borderId="0" xfId="0" applyFont="1" applyFill="1" applyAlignment="1">
      <alignment horizontal="center" vertical="center"/>
    </xf>
    <xf numFmtId="0" fontId="5" fillId="0" borderId="29" xfId="0" applyFont="1" applyBorder="1" applyAlignment="1">
      <alignment vertical="center"/>
    </xf>
    <xf numFmtId="2" fontId="6" fillId="50" borderId="0" xfId="0" applyNumberFormat="1" applyFont="1" applyFill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5" fillId="46" borderId="0" xfId="0" applyFont="1" applyFill="1" applyAlignment="1">
      <alignment vertical="center"/>
    </xf>
    <xf numFmtId="0" fontId="80" fillId="56" borderId="83" xfId="0" applyFont="1" applyFill="1" applyBorder="1" applyAlignment="1">
      <alignment horizontal="center" vertical="center" wrapText="1"/>
    </xf>
    <xf numFmtId="0" fontId="82" fillId="50" borderId="16" xfId="597" applyFont="1" applyFill="1" applyBorder="1" applyAlignment="1">
      <alignment horizontal="left" vertical="center"/>
    </xf>
    <xf numFmtId="14" fontId="75" fillId="56" borderId="81" xfId="0" applyNumberFormat="1" applyFont="1" applyFill="1" applyBorder="1" applyAlignment="1">
      <alignment horizontal="center" vertical="center" wrapText="1"/>
    </xf>
    <xf numFmtId="0" fontId="75" fillId="56" borderId="84" xfId="0" applyFont="1" applyFill="1" applyBorder="1" applyAlignment="1">
      <alignment vertical="center" wrapText="1"/>
    </xf>
    <xf numFmtId="0" fontId="5" fillId="57" borderId="31" xfId="344" applyFill="1" applyBorder="1" applyAlignment="1">
      <alignment horizontal="center" vertical="center" wrapText="1"/>
    </xf>
    <xf numFmtId="44" fontId="82" fillId="48" borderId="33" xfId="195" applyFont="1" applyFill="1" applyBorder="1" applyAlignment="1">
      <alignment horizontal="center" vertical="center"/>
    </xf>
    <xf numFmtId="2" fontId="6" fillId="46" borderId="35" xfId="0" applyNumberFormat="1" applyFont="1" applyFill="1" applyBorder="1" applyAlignment="1">
      <alignment horizontal="center" vertical="center"/>
    </xf>
    <xf numFmtId="0" fontId="6" fillId="48" borderId="24" xfId="0" applyFont="1" applyFill="1" applyBorder="1" applyAlignment="1">
      <alignment horizontal="center" vertical="center"/>
    </xf>
    <xf numFmtId="10" fontId="85" fillId="0" borderId="0" xfId="743" applyNumberFormat="1" applyFont="1" applyFill="1" applyAlignment="1">
      <alignment horizontal="right" vertical="center"/>
    </xf>
    <xf numFmtId="4" fontId="85" fillId="0" borderId="0" xfId="945" applyNumberFormat="1" applyFont="1" applyFill="1" applyAlignment="1">
      <alignment horizontal="right" vertical="center"/>
    </xf>
    <xf numFmtId="44" fontId="5" fillId="53" borderId="16" xfId="195" applyFont="1" applyFill="1" applyBorder="1" applyAlignment="1">
      <alignment horizontal="center" vertical="center"/>
    </xf>
    <xf numFmtId="10" fontId="5" fillId="53" borderId="16" xfId="738" applyNumberFormat="1" applyFont="1" applyFill="1" applyBorder="1" applyAlignment="1">
      <alignment horizontal="center" vertical="center"/>
    </xf>
    <xf numFmtId="0" fontId="5" fillId="53" borderId="16" xfId="0" applyFont="1" applyFill="1" applyBorder="1" applyAlignment="1">
      <alignment vertical="center"/>
    </xf>
    <xf numFmtId="0" fontId="75" fillId="56" borderId="86" xfId="0" applyFont="1" applyFill="1" applyBorder="1" applyAlignment="1">
      <alignment horizontal="center" vertical="center" wrapText="1"/>
    </xf>
    <xf numFmtId="0" fontId="75" fillId="56" borderId="82" xfId="0" applyFont="1" applyFill="1" applyBorder="1" applyAlignment="1">
      <alignment horizontal="center" vertical="center" wrapText="1"/>
    </xf>
    <xf numFmtId="173" fontId="82" fillId="50" borderId="36" xfId="597" applyNumberFormat="1" applyFont="1" applyFill="1" applyBorder="1" applyAlignment="1">
      <alignment horizontal="center" vertical="center"/>
    </xf>
    <xf numFmtId="173" fontId="82" fillId="50" borderId="23" xfId="597" applyNumberFormat="1" applyFont="1" applyFill="1" applyBorder="1" applyAlignment="1">
      <alignment horizontal="center" vertical="center"/>
    </xf>
    <xf numFmtId="173" fontId="82" fillId="50" borderId="27" xfId="597" applyNumberFormat="1" applyFont="1" applyFill="1" applyBorder="1" applyAlignment="1">
      <alignment horizontal="center" vertical="center"/>
    </xf>
    <xf numFmtId="0" fontId="6" fillId="53" borderId="16" xfId="0" applyFont="1" applyFill="1" applyBorder="1" applyAlignment="1">
      <alignment vertical="center" wrapText="1"/>
    </xf>
    <xf numFmtId="0" fontId="82" fillId="50" borderId="30" xfId="597" applyFont="1" applyFill="1" applyBorder="1" applyAlignment="1">
      <alignment horizontal="center" vertical="center"/>
    </xf>
    <xf numFmtId="44" fontId="82" fillId="50" borderId="37" xfId="195" applyFont="1" applyFill="1" applyBorder="1" applyAlignment="1">
      <alignment horizontal="center" vertical="center"/>
    </xf>
    <xf numFmtId="44" fontId="82" fillId="50" borderId="25" xfId="195" applyFont="1" applyFill="1" applyBorder="1" applyAlignment="1">
      <alignment horizontal="center" vertical="center"/>
    </xf>
    <xf numFmtId="170" fontId="27" fillId="55" borderId="13" xfId="945" applyNumberFormat="1" applyFont="1" applyFill="1" applyBorder="1" applyAlignment="1">
      <alignment horizontal="right" vertical="center"/>
    </xf>
    <xf numFmtId="49" fontId="76" fillId="50" borderId="16" xfId="0" applyNumberFormat="1" applyFont="1" applyFill="1" applyBorder="1" applyAlignment="1">
      <alignment horizontal="center" vertical="center" wrapText="1"/>
    </xf>
    <xf numFmtId="49" fontId="76" fillId="50" borderId="16" xfId="945" applyNumberFormat="1" applyFont="1" applyFill="1" applyBorder="1" applyAlignment="1">
      <alignment horizontal="center" vertical="center"/>
    </xf>
    <xf numFmtId="0" fontId="5" fillId="50" borderId="16" xfId="0" applyFont="1" applyFill="1" applyBorder="1" applyAlignment="1">
      <alignment vertical="center"/>
    </xf>
    <xf numFmtId="0" fontId="5" fillId="50" borderId="16" xfId="0" applyFont="1" applyFill="1" applyBorder="1" applyAlignment="1">
      <alignment horizontal="center" vertical="center"/>
    </xf>
    <xf numFmtId="10" fontId="5" fillId="53" borderId="16" xfId="743" applyNumberFormat="1" applyFont="1" applyFill="1" applyBorder="1" applyAlignment="1">
      <alignment horizontal="center" vertical="center"/>
    </xf>
    <xf numFmtId="44" fontId="5" fillId="50" borderId="16" xfId="203" applyFont="1" applyFill="1" applyBorder="1" applyAlignment="1">
      <alignment horizontal="center" vertical="center"/>
    </xf>
    <xf numFmtId="0" fontId="5" fillId="50" borderId="16" xfId="650" quotePrefix="1" applyFont="1" applyFill="1" applyBorder="1" applyAlignment="1">
      <alignment horizontal="center" vertical="center"/>
    </xf>
    <xf numFmtId="0" fontId="5" fillId="50" borderId="16" xfId="0" applyFont="1" applyFill="1" applyBorder="1" applyAlignment="1">
      <alignment horizontal="left" vertical="center"/>
    </xf>
    <xf numFmtId="4" fontId="76" fillId="50" borderId="16" xfId="650" quotePrefix="1" applyNumberFormat="1" applyFont="1" applyFill="1" applyBorder="1" applyAlignment="1">
      <alignment horizontal="center" vertical="center"/>
    </xf>
    <xf numFmtId="0" fontId="5" fillId="50" borderId="16" xfId="0" applyFont="1" applyFill="1" applyBorder="1" applyAlignment="1">
      <alignment horizontal="left" vertical="center" wrapText="1"/>
    </xf>
    <xf numFmtId="0" fontId="6" fillId="48" borderId="24" xfId="0" applyFont="1" applyFill="1" applyBorder="1" applyAlignment="1">
      <alignment horizontal="left" vertical="center" wrapText="1"/>
    </xf>
    <xf numFmtId="0" fontId="5" fillId="50" borderId="24" xfId="0" applyFont="1" applyFill="1" applyBorder="1" applyAlignment="1">
      <alignment horizontal="center" vertical="center"/>
    </xf>
    <xf numFmtId="0" fontId="5" fillId="50" borderId="17" xfId="0" applyFont="1" applyFill="1" applyBorder="1" applyAlignment="1">
      <alignment horizontal="center" vertical="center"/>
    </xf>
    <xf numFmtId="0" fontId="5" fillId="50" borderId="17" xfId="0" applyFont="1" applyFill="1" applyBorder="1" applyAlignment="1">
      <alignment horizontal="center" vertical="center" wrapText="1"/>
    </xf>
    <xf numFmtId="2" fontId="5" fillId="50" borderId="16" xfId="0" applyNumberFormat="1" applyFont="1" applyFill="1" applyBorder="1" applyAlignment="1">
      <alignment horizontal="left" vertical="center"/>
    </xf>
    <xf numFmtId="2" fontId="5" fillId="50" borderId="16" xfId="0" applyNumberFormat="1" applyFont="1" applyFill="1" applyBorder="1" applyAlignment="1">
      <alignment horizontal="center" vertical="center"/>
    </xf>
    <xf numFmtId="2" fontId="5" fillId="50" borderId="24" xfId="0" applyNumberFormat="1" applyFont="1" applyFill="1" applyBorder="1" applyAlignment="1">
      <alignment horizontal="center" vertical="center"/>
    </xf>
    <xf numFmtId="172" fontId="5" fillId="50" borderId="16" xfId="0" applyNumberFormat="1" applyFont="1" applyFill="1" applyBorder="1" applyAlignment="1">
      <alignment horizontal="center" vertical="center"/>
    </xf>
    <xf numFmtId="49" fontId="5" fillId="50" borderId="16" xfId="0" applyNumberFormat="1" applyFont="1" applyFill="1" applyBorder="1" applyAlignment="1">
      <alignment horizontal="center" vertical="center"/>
    </xf>
    <xf numFmtId="4" fontId="5" fillId="50" borderId="16" xfId="0" applyNumberFormat="1" applyFont="1" applyFill="1" applyBorder="1" applyAlignment="1">
      <alignment horizontal="center" vertical="center"/>
    </xf>
    <xf numFmtId="1" fontId="5" fillId="50" borderId="16" xfId="0" applyNumberFormat="1" applyFont="1" applyFill="1" applyBorder="1" applyAlignment="1">
      <alignment horizontal="center" vertical="center"/>
    </xf>
    <xf numFmtId="172" fontId="5" fillId="50" borderId="24" xfId="0" applyNumberFormat="1" applyFont="1" applyFill="1" applyBorder="1" applyAlignment="1">
      <alignment horizontal="center" vertical="center"/>
    </xf>
    <xf numFmtId="2" fontId="5" fillId="50" borderId="17" xfId="0" applyNumberFormat="1" applyFont="1" applyFill="1" applyBorder="1" applyAlignment="1">
      <alignment horizontal="left" vertical="center"/>
    </xf>
    <xf numFmtId="2" fontId="5" fillId="50" borderId="17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" fontId="82" fillId="50" borderId="16" xfId="0" applyNumberFormat="1" applyFont="1" applyFill="1" applyBorder="1" applyAlignment="1">
      <alignment vertical="center" wrapText="1"/>
    </xf>
    <xf numFmtId="0" fontId="5" fillId="50" borderId="17" xfId="0" applyFont="1" applyFill="1" applyBorder="1" applyAlignment="1">
      <alignment horizontal="left" vertical="center"/>
    </xf>
    <xf numFmtId="172" fontId="5" fillId="50" borderId="17" xfId="0" applyNumberFormat="1" applyFont="1" applyFill="1" applyBorder="1" applyAlignment="1">
      <alignment horizontal="center" vertical="center"/>
    </xf>
    <xf numFmtId="44" fontId="5" fillId="53" borderId="21" xfId="195" applyFont="1" applyFill="1" applyBorder="1" applyAlignment="1">
      <alignment horizontal="center" vertical="center"/>
    </xf>
    <xf numFmtId="4" fontId="6" fillId="48" borderId="21" xfId="0" applyNumberFormat="1" applyFont="1" applyFill="1" applyBorder="1" applyAlignment="1">
      <alignment horizontal="center" vertical="center"/>
    </xf>
    <xf numFmtId="44" fontId="5" fillId="53" borderId="16" xfId="195" applyFont="1" applyFill="1" applyBorder="1" applyAlignment="1">
      <alignment horizontal="right" vertical="center"/>
    </xf>
    <xf numFmtId="0" fontId="5" fillId="0" borderId="16" xfId="0" applyFont="1" applyBorder="1"/>
    <xf numFmtId="0" fontId="5" fillId="50" borderId="16" xfId="0" applyFont="1" applyFill="1" applyBorder="1" applyAlignment="1">
      <alignment horizontal="right" vertical="center"/>
    </xf>
    <xf numFmtId="44" fontId="5" fillId="53" borderId="16" xfId="203" applyFont="1" applyFill="1" applyBorder="1" applyAlignment="1">
      <alignment horizontal="center" vertical="center"/>
    </xf>
    <xf numFmtId="0" fontId="6" fillId="50" borderId="16" xfId="0" applyFont="1" applyFill="1" applyBorder="1" applyAlignment="1">
      <alignment horizontal="center" vertical="center" wrapText="1"/>
    </xf>
    <xf numFmtId="0" fontId="5" fillId="50" borderId="16" xfId="0" applyFont="1" applyFill="1" applyBorder="1" applyAlignment="1">
      <alignment horizontal="center" vertical="center" wrapText="1"/>
    </xf>
    <xf numFmtId="0" fontId="6" fillId="53" borderId="16" xfId="0" applyFont="1" applyFill="1" applyBorder="1" applyAlignment="1">
      <alignment horizontal="center" vertical="center" wrapText="1"/>
    </xf>
    <xf numFmtId="2" fontId="76" fillId="59" borderId="16" xfId="195" applyNumberFormat="1" applyFont="1" applyFill="1" applyBorder="1" applyAlignment="1">
      <alignment horizontal="center" vertical="center" wrapText="1"/>
    </xf>
    <xf numFmtId="44" fontId="5" fillId="50" borderId="16" xfId="0" applyNumberFormat="1" applyFont="1" applyFill="1" applyBorder="1" applyAlignment="1">
      <alignment horizontal="center" vertical="center" wrapText="1"/>
    </xf>
    <xf numFmtId="44" fontId="82" fillId="59" borderId="16" xfId="195" applyFont="1" applyFill="1" applyBorder="1" applyAlignment="1">
      <alignment horizontal="center" vertical="center" wrapText="1"/>
    </xf>
    <xf numFmtId="44" fontId="82" fillId="50" borderId="16" xfId="195" applyFont="1" applyFill="1" applyBorder="1" applyAlignment="1">
      <alignment horizontal="center" vertical="center"/>
    </xf>
    <xf numFmtId="44" fontId="76" fillId="59" borderId="16" xfId="195" applyFont="1" applyFill="1" applyBorder="1" applyAlignment="1">
      <alignment horizontal="center" vertical="center" wrapText="1"/>
    </xf>
    <xf numFmtId="44" fontId="5" fillId="50" borderId="16" xfId="0" applyNumberFormat="1" applyFont="1" applyFill="1" applyBorder="1" applyAlignment="1">
      <alignment horizontal="center" vertical="center"/>
    </xf>
    <xf numFmtId="2" fontId="5" fillId="50" borderId="16" xfId="0" applyNumberFormat="1" applyFont="1" applyFill="1" applyBorder="1" applyAlignment="1">
      <alignment horizontal="center" vertical="center" wrapText="1"/>
    </xf>
    <xf numFmtId="44" fontId="5" fillId="0" borderId="16" xfId="203" applyFont="1" applyFill="1" applyBorder="1" applyAlignment="1">
      <alignment horizontal="center" vertical="center"/>
    </xf>
    <xf numFmtId="44" fontId="5" fillId="0" borderId="0" xfId="203" applyFont="1"/>
    <xf numFmtId="0" fontId="87" fillId="53" borderId="16" xfId="0" applyFont="1" applyFill="1" applyBorder="1" applyAlignment="1">
      <alignment vertical="center" wrapText="1"/>
    </xf>
    <xf numFmtId="44" fontId="5" fillId="0" borderId="16" xfId="203" applyFont="1" applyBorder="1"/>
    <xf numFmtId="0" fontId="82" fillId="50" borderId="16" xfId="0" applyFont="1" applyFill="1" applyBorder="1" applyAlignment="1">
      <alignment horizontal="center" vertical="center"/>
    </xf>
    <xf numFmtId="44" fontId="5" fillId="0" borderId="0" xfId="203" applyFont="1" applyAlignment="1">
      <alignment horizontal="center" vertical="center"/>
    </xf>
    <xf numFmtId="44" fontId="5" fillId="0" borderId="16" xfId="203" applyFont="1" applyBorder="1" applyAlignment="1">
      <alignment horizontal="center" vertical="center"/>
    </xf>
    <xf numFmtId="199" fontId="5" fillId="0" borderId="16" xfId="0" applyNumberFormat="1" applyFont="1" applyBorder="1" applyAlignment="1">
      <alignment horizontal="center" vertical="center"/>
    </xf>
    <xf numFmtId="199" fontId="5" fillId="0" borderId="0" xfId="0" applyNumberFormat="1" applyFont="1" applyAlignment="1">
      <alignment horizontal="center" vertical="center"/>
    </xf>
    <xf numFmtId="10" fontId="77" fillId="48" borderId="16" xfId="738" applyNumberFormat="1" applyFont="1" applyFill="1" applyBorder="1" applyAlignment="1">
      <alignment horizontal="center" vertical="center"/>
    </xf>
    <xf numFmtId="2" fontId="82" fillId="59" borderId="16" xfId="203" applyNumberFormat="1" applyFont="1" applyFill="1" applyBorder="1" applyAlignment="1">
      <alignment horizontal="center" vertical="center" wrapText="1"/>
    </xf>
    <xf numFmtId="0" fontId="87" fillId="53" borderId="16" xfId="0" applyFont="1" applyFill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/>
    </xf>
    <xf numFmtId="4" fontId="5" fillId="53" borderId="16" xfId="0" applyNumberFormat="1" applyFont="1" applyFill="1" applyBorder="1" applyAlignment="1">
      <alignment horizontal="right" vertical="center"/>
    </xf>
    <xf numFmtId="0" fontId="76" fillId="50" borderId="16" xfId="0" quotePrefix="1" applyFont="1" applyFill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4" fontId="5" fillId="0" borderId="0" xfId="292" applyNumberFormat="1" applyAlignment="1">
      <alignment horizontal="center" vertical="center"/>
    </xf>
    <xf numFmtId="44" fontId="79" fillId="49" borderId="34" xfId="203" applyFont="1" applyFill="1" applyBorder="1" applyAlignment="1">
      <alignment horizontal="center" vertical="center"/>
    </xf>
    <xf numFmtId="44" fontId="82" fillId="48" borderId="33" xfId="203" applyFont="1" applyFill="1" applyBorder="1" applyAlignment="1">
      <alignment horizontal="center" vertical="center"/>
    </xf>
    <xf numFmtId="2" fontId="82" fillId="50" borderId="28" xfId="993" applyNumberFormat="1" applyFont="1" applyFill="1" applyBorder="1" applyAlignment="1">
      <alignment horizontal="center" vertical="center"/>
    </xf>
    <xf numFmtId="2" fontId="82" fillId="50" borderId="19" xfId="993" applyNumberFormat="1" applyFont="1" applyFill="1" applyBorder="1" applyAlignment="1">
      <alignment horizontal="center" vertical="center"/>
    </xf>
    <xf numFmtId="0" fontId="82" fillId="50" borderId="19" xfId="993" applyFont="1" applyFill="1" applyBorder="1" applyAlignment="1">
      <alignment horizontal="center" vertical="center" wrapText="1"/>
    </xf>
    <xf numFmtId="0" fontId="82" fillId="50" borderId="16" xfId="993" applyFont="1" applyFill="1" applyBorder="1" applyAlignment="1">
      <alignment horizontal="center" vertical="center"/>
    </xf>
    <xf numFmtId="0" fontId="75" fillId="56" borderId="86" xfId="292" applyFont="1" applyFill="1" applyBorder="1" applyAlignment="1">
      <alignment horizontal="center" vertical="center" wrapText="1"/>
    </xf>
    <xf numFmtId="0" fontId="82" fillId="50" borderId="24" xfId="993" applyFont="1" applyFill="1" applyBorder="1" applyAlignment="1">
      <alignment horizontal="center" vertical="center"/>
    </xf>
    <xf numFmtId="0" fontId="86" fillId="56" borderId="86" xfId="292" applyFont="1" applyFill="1" applyBorder="1" applyAlignment="1">
      <alignment horizontal="center" vertical="center" wrapText="1"/>
    </xf>
    <xf numFmtId="0" fontId="82" fillId="50" borderId="16" xfId="993" applyFont="1" applyFill="1" applyBorder="1" applyAlignment="1">
      <alignment horizontal="left" vertical="center"/>
    </xf>
    <xf numFmtId="44" fontId="5" fillId="57" borderId="32" xfId="203" applyFont="1" applyFill="1" applyBorder="1" applyAlignment="1">
      <alignment horizontal="center" vertical="center"/>
    </xf>
    <xf numFmtId="44" fontId="5" fillId="57" borderId="16" xfId="203" applyFont="1" applyFill="1" applyBorder="1" applyAlignment="1">
      <alignment horizontal="center" vertical="center"/>
    </xf>
    <xf numFmtId="0" fontId="82" fillId="57" borderId="16" xfId="993" applyFont="1" applyFill="1" applyBorder="1" applyAlignment="1">
      <alignment horizontal="left" vertical="center" wrapText="1"/>
    </xf>
    <xf numFmtId="0" fontId="82" fillId="57" borderId="16" xfId="993" applyFont="1" applyFill="1" applyBorder="1" applyAlignment="1">
      <alignment horizontal="center" vertical="center"/>
    </xf>
    <xf numFmtId="44" fontId="5" fillId="50" borderId="24" xfId="203" applyFont="1" applyFill="1" applyBorder="1" applyAlignment="1">
      <alignment horizontal="center" vertical="center"/>
    </xf>
    <xf numFmtId="0" fontId="67" fillId="50" borderId="24" xfId="993" applyFont="1" applyFill="1" applyBorder="1" applyAlignment="1">
      <alignment horizontal="left" vertical="center" wrapText="1"/>
    </xf>
    <xf numFmtId="0" fontId="6" fillId="48" borderId="12" xfId="0" applyFont="1" applyFill="1" applyBorder="1" applyAlignment="1">
      <alignment horizontal="center" vertical="center"/>
    </xf>
    <xf numFmtId="0" fontId="6" fillId="48" borderId="45" xfId="0" applyFont="1" applyFill="1" applyBorder="1" applyAlignment="1">
      <alignment horizontal="center" vertical="center"/>
    </xf>
    <xf numFmtId="0" fontId="6" fillId="48" borderId="45" xfId="0" applyFont="1" applyFill="1" applyBorder="1" applyAlignment="1">
      <alignment vertical="center"/>
    </xf>
    <xf numFmtId="0" fontId="5" fillId="50" borderId="24" xfId="0" applyFont="1" applyFill="1" applyBorder="1" applyAlignment="1">
      <alignment horizontal="left" vertical="center"/>
    </xf>
    <xf numFmtId="49" fontId="6" fillId="48" borderId="12" xfId="0" applyNumberFormat="1" applyFont="1" applyFill="1" applyBorder="1" applyAlignment="1">
      <alignment horizontal="center" vertical="center"/>
    </xf>
    <xf numFmtId="0" fontId="6" fillId="48" borderId="12" xfId="0" applyFont="1" applyFill="1" applyBorder="1" applyAlignment="1">
      <alignment horizontal="left" vertical="center"/>
    </xf>
    <xf numFmtId="0" fontId="6" fillId="48" borderId="45" xfId="0" applyFont="1" applyFill="1" applyBorder="1" applyAlignment="1">
      <alignment horizontal="left" vertical="center"/>
    </xf>
    <xf numFmtId="49" fontId="6" fillId="48" borderId="8" xfId="0" applyNumberFormat="1" applyFont="1" applyFill="1" applyBorder="1" applyAlignment="1">
      <alignment horizontal="center" vertical="center"/>
    </xf>
    <xf numFmtId="0" fontId="5" fillId="50" borderId="46" xfId="0" applyFont="1" applyFill="1" applyBorder="1" applyAlignment="1">
      <alignment horizontal="center" vertical="center"/>
    </xf>
    <xf numFmtId="4" fontId="5" fillId="50" borderId="16" xfId="0" applyNumberFormat="1" applyFont="1" applyFill="1" applyBorder="1" applyAlignment="1">
      <alignment horizontal="left" vertical="center"/>
    </xf>
    <xf numFmtId="4" fontId="5" fillId="50" borderId="24" xfId="0" applyNumberFormat="1" applyFont="1" applyFill="1" applyBorder="1" applyAlignment="1">
      <alignment horizontal="center" vertical="center"/>
    </xf>
    <xf numFmtId="201" fontId="5" fillId="50" borderId="16" xfId="0" applyNumberFormat="1" applyFont="1" applyFill="1" applyBorder="1" applyAlignment="1">
      <alignment horizontal="center" vertical="center"/>
    </xf>
    <xf numFmtId="200" fontId="5" fillId="50" borderId="24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1" fontId="5" fillId="50" borderId="24" xfId="0" applyNumberFormat="1" applyFont="1" applyFill="1" applyBorder="1" applyAlignment="1">
      <alignment horizontal="center" vertical="center"/>
    </xf>
    <xf numFmtId="4" fontId="5" fillId="5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44" fontId="76" fillId="59" borderId="16" xfId="203" applyFont="1" applyFill="1" applyBorder="1" applyAlignment="1">
      <alignment horizontal="right" vertical="center" wrapText="1"/>
    </xf>
    <xf numFmtId="2" fontId="76" fillId="59" borderId="16" xfId="203" applyNumberFormat="1" applyFont="1" applyFill="1" applyBorder="1" applyAlignment="1">
      <alignment horizontal="center" vertical="center" wrapText="1"/>
    </xf>
    <xf numFmtId="0" fontId="5" fillId="50" borderId="16" xfId="0" applyFont="1" applyFill="1" applyBorder="1" applyAlignment="1">
      <alignment vertical="center" wrapText="1"/>
    </xf>
    <xf numFmtId="0" fontId="5" fillId="50" borderId="24" xfId="0" applyFont="1" applyFill="1" applyBorder="1" applyAlignment="1">
      <alignment horizontal="left" vertical="center" wrapText="1"/>
    </xf>
    <xf numFmtId="0" fontId="68" fillId="0" borderId="16" xfId="0" applyFont="1" applyBorder="1" applyAlignment="1">
      <alignment horizontal="left" vertical="top"/>
    </xf>
    <xf numFmtId="0" fontId="87" fillId="50" borderId="16" xfId="0" applyFont="1" applyFill="1" applyBorder="1" applyAlignment="1">
      <alignment horizontal="center" vertical="center" wrapText="1"/>
    </xf>
    <xf numFmtId="44" fontId="82" fillId="50" borderId="16" xfId="203" applyFont="1" applyFill="1" applyBorder="1" applyAlignment="1">
      <alignment horizontal="center" vertical="center" wrapText="1"/>
    </xf>
    <xf numFmtId="1" fontId="5" fillId="50" borderId="16" xfId="0" applyNumberFormat="1" applyFont="1" applyFill="1" applyBorder="1" applyAlignment="1">
      <alignment horizontal="center" vertical="center" wrapText="1"/>
    </xf>
    <xf numFmtId="44" fontId="5" fillId="50" borderId="16" xfId="264" applyFont="1" applyFill="1" applyBorder="1" applyAlignment="1">
      <alignment horizontal="center" vertical="center"/>
    </xf>
    <xf numFmtId="44" fontId="6" fillId="50" borderId="16" xfId="264" applyFont="1" applyFill="1" applyBorder="1" applyAlignment="1">
      <alignment horizontal="center" vertical="center"/>
    </xf>
    <xf numFmtId="0" fontId="82" fillId="50" borderId="16" xfId="995" applyFont="1" applyFill="1" applyBorder="1" applyAlignment="1">
      <alignment horizontal="center" vertical="center"/>
    </xf>
    <xf numFmtId="0" fontId="82" fillId="50" borderId="16" xfId="995" applyFont="1" applyFill="1" applyBorder="1" applyAlignment="1">
      <alignment horizontal="left" vertical="center"/>
    </xf>
    <xf numFmtId="0" fontId="75" fillId="56" borderId="86" xfId="343" applyFont="1" applyFill="1" applyBorder="1" applyAlignment="1">
      <alignment horizontal="center" vertical="center" wrapText="1"/>
    </xf>
    <xf numFmtId="0" fontId="82" fillId="50" borderId="16" xfId="995" applyFont="1" applyFill="1" applyBorder="1" applyAlignment="1">
      <alignment horizontal="left" vertical="center" wrapText="1"/>
    </xf>
    <xf numFmtId="0" fontId="75" fillId="56" borderId="109" xfId="343" applyFont="1" applyFill="1" applyBorder="1" applyAlignment="1">
      <alignment horizontal="center" vertical="center" wrapText="1"/>
    </xf>
    <xf numFmtId="0" fontId="86" fillId="56" borderId="109" xfId="343" applyFont="1" applyFill="1" applyBorder="1" applyAlignment="1">
      <alignment horizontal="center" vertical="center" wrapText="1"/>
    </xf>
    <xf numFmtId="0" fontId="75" fillId="56" borderId="82" xfId="343" applyFont="1" applyFill="1" applyBorder="1" applyAlignment="1">
      <alignment vertical="center" wrapText="1"/>
    </xf>
    <xf numFmtId="0" fontId="75" fillId="56" borderId="82" xfId="343" applyFont="1" applyFill="1" applyBorder="1" applyAlignment="1">
      <alignment horizontal="center" vertical="center" wrapText="1"/>
    </xf>
    <xf numFmtId="0" fontId="5" fillId="50" borderId="16" xfId="343" applyFill="1" applyBorder="1" applyAlignment="1">
      <alignment horizontal="left" vertical="center"/>
    </xf>
    <xf numFmtId="2" fontId="82" fillId="50" borderId="16" xfId="995" applyNumberFormat="1" applyFont="1" applyFill="1" applyBorder="1" applyAlignment="1">
      <alignment horizontal="center" vertical="center"/>
    </xf>
    <xf numFmtId="0" fontId="75" fillId="56" borderId="102" xfId="0" applyFont="1" applyFill="1" applyBorder="1" applyAlignment="1">
      <alignment horizontal="center" vertical="center" wrapText="1"/>
    </xf>
    <xf numFmtId="0" fontId="5" fillId="50" borderId="16" xfId="343" applyFill="1" applyBorder="1" applyAlignment="1">
      <alignment horizontal="center" vertical="center"/>
    </xf>
    <xf numFmtId="0" fontId="5" fillId="50" borderId="1" xfId="0" applyFont="1" applyFill="1" applyBorder="1" applyAlignment="1">
      <alignment horizontal="center" vertical="center"/>
    </xf>
    <xf numFmtId="0" fontId="0" fillId="50" borderId="24" xfId="0" applyFill="1" applyBorder="1" applyAlignment="1">
      <alignment horizontal="center" vertical="center"/>
    </xf>
    <xf numFmtId="0" fontId="0" fillId="50" borderId="24" xfId="0" applyFill="1" applyBorder="1" applyAlignment="1">
      <alignment horizontal="left" vertical="center" wrapText="1"/>
    </xf>
    <xf numFmtId="0" fontId="0" fillId="50" borderId="16" xfId="0" applyFill="1" applyBorder="1" applyAlignment="1">
      <alignment horizontal="center" vertical="center"/>
    </xf>
    <xf numFmtId="0" fontId="0" fillId="50" borderId="16" xfId="0" applyFill="1" applyBorder="1" applyAlignment="1">
      <alignment horizontal="left" vertical="center" wrapText="1"/>
    </xf>
    <xf numFmtId="0" fontId="86" fillId="56" borderId="109" xfId="292" applyFont="1" applyFill="1" applyBorder="1" applyAlignment="1">
      <alignment horizontal="center" vertical="center" wrapText="1"/>
    </xf>
    <xf numFmtId="0" fontId="75" fillId="56" borderId="109" xfId="292" applyFont="1" applyFill="1" applyBorder="1" applyAlignment="1">
      <alignment horizontal="center" vertical="center" wrapText="1"/>
    </xf>
    <xf numFmtId="0" fontId="82" fillId="50" borderId="16" xfId="993" applyFont="1" applyFill="1" applyBorder="1" applyAlignment="1">
      <alignment horizontal="left" vertical="center" wrapText="1"/>
    </xf>
    <xf numFmtId="0" fontId="82" fillId="57" borderId="16" xfId="993" applyFont="1" applyFill="1" applyBorder="1" applyAlignment="1">
      <alignment horizontal="left" vertical="center"/>
    </xf>
    <xf numFmtId="44" fontId="82" fillId="57" borderId="16" xfId="203" applyFont="1" applyFill="1" applyBorder="1" applyAlignment="1">
      <alignment horizontal="center" vertical="center" wrapText="1"/>
    </xf>
    <xf numFmtId="0" fontId="75" fillId="56" borderId="16" xfId="292" applyFont="1" applyFill="1" applyBorder="1" applyAlignment="1">
      <alignment vertical="center" wrapText="1"/>
    </xf>
    <xf numFmtId="0" fontId="75" fillId="56" borderId="16" xfId="292" applyFont="1" applyFill="1" applyBorder="1" applyAlignment="1">
      <alignment horizontal="center" vertical="center" wrapText="1"/>
    </xf>
    <xf numFmtId="1" fontId="5" fillId="50" borderId="17" xfId="0" applyNumberFormat="1" applyFont="1" applyFill="1" applyBorder="1" applyAlignment="1">
      <alignment horizontal="center" vertical="center"/>
    </xf>
    <xf numFmtId="0" fontId="5" fillId="0" borderId="40" xfId="0" applyFont="1" applyBorder="1"/>
    <xf numFmtId="0" fontId="91" fillId="50" borderId="16" xfId="996" applyFont="1" applyFill="1" applyBorder="1" applyAlignment="1">
      <alignment horizontal="center" vertical="center"/>
    </xf>
    <xf numFmtId="44" fontId="5" fillId="50" borderId="16" xfId="203" applyFont="1" applyFill="1" applyBorder="1" applyAlignment="1">
      <alignment horizontal="center" vertical="center" wrapText="1"/>
    </xf>
    <xf numFmtId="0" fontId="75" fillId="56" borderId="109" xfId="0" applyFont="1" applyFill="1" applyBorder="1" applyAlignment="1">
      <alignment horizontal="center" vertical="center" wrapText="1"/>
    </xf>
    <xf numFmtId="0" fontId="86" fillId="56" borderId="109" xfId="0" applyFont="1" applyFill="1" applyBorder="1" applyAlignment="1">
      <alignment horizontal="center" vertical="center" wrapText="1"/>
    </xf>
    <xf numFmtId="0" fontId="75" fillId="56" borderId="111" xfId="0" applyFont="1" applyFill="1" applyBorder="1" applyAlignment="1">
      <alignment horizontal="center" vertical="center" wrapText="1"/>
    </xf>
    <xf numFmtId="0" fontId="82" fillId="57" borderId="16" xfId="996" applyFont="1" applyFill="1" applyBorder="1" applyAlignment="1">
      <alignment horizontal="left" vertical="center" wrapText="1"/>
    </xf>
    <xf numFmtId="0" fontId="82" fillId="57" borderId="16" xfId="996" applyFont="1" applyFill="1" applyBorder="1" applyAlignment="1">
      <alignment horizontal="center" vertical="center"/>
    </xf>
    <xf numFmtId="0" fontId="82" fillId="50" borderId="16" xfId="996" applyFont="1" applyFill="1" applyBorder="1" applyAlignment="1">
      <alignment horizontal="center" vertical="center"/>
    </xf>
    <xf numFmtId="0" fontId="75" fillId="50" borderId="16" xfId="0" applyFont="1" applyFill="1" applyBorder="1" applyAlignment="1">
      <alignment horizontal="center" vertical="center" wrapText="1"/>
    </xf>
    <xf numFmtId="0" fontId="82" fillId="50" borderId="16" xfId="996" applyFont="1" applyFill="1" applyBorder="1" applyAlignment="1">
      <alignment horizontal="left" vertical="center"/>
    </xf>
    <xf numFmtId="0" fontId="82" fillId="50" borderId="24" xfId="996" applyFont="1" applyFill="1" applyBorder="1" applyAlignment="1">
      <alignment horizontal="center" vertical="center"/>
    </xf>
    <xf numFmtId="0" fontId="82" fillId="50" borderId="31" xfId="996" applyFont="1" applyFill="1" applyBorder="1" applyAlignment="1">
      <alignment horizontal="center" vertical="center"/>
    </xf>
    <xf numFmtId="202" fontId="5" fillId="50" borderId="24" xfId="0" applyNumberFormat="1" applyFont="1" applyFill="1" applyBorder="1" applyAlignment="1">
      <alignment horizontal="center" vertical="center"/>
    </xf>
    <xf numFmtId="0" fontId="67" fillId="0" borderId="16" xfId="0" applyFont="1" applyBorder="1" applyAlignment="1">
      <alignment vertical="center" wrapText="1"/>
    </xf>
    <xf numFmtId="0" fontId="82" fillId="50" borderId="16" xfId="996" applyFont="1" applyFill="1" applyBorder="1" applyAlignment="1">
      <alignment horizontal="left" vertical="center" wrapText="1"/>
    </xf>
    <xf numFmtId="0" fontId="5" fillId="50" borderId="16" xfId="344" applyFill="1" applyBorder="1" applyAlignment="1">
      <alignment horizontal="center" vertical="center" wrapText="1"/>
    </xf>
    <xf numFmtId="0" fontId="8" fillId="50" borderId="16" xfId="344" applyFont="1" applyFill="1" applyBorder="1" applyAlignment="1">
      <alignment horizontal="center" vertical="center"/>
    </xf>
    <xf numFmtId="0" fontId="91" fillId="50" borderId="16" xfId="996" applyFont="1" applyFill="1" applyBorder="1" applyAlignment="1">
      <alignment horizontal="center" vertical="center" wrapText="1"/>
    </xf>
    <xf numFmtId="2" fontId="91" fillId="50" borderId="16" xfId="996" applyNumberFormat="1" applyFont="1" applyFill="1" applyBorder="1" applyAlignment="1">
      <alignment horizontal="center" vertical="center"/>
    </xf>
    <xf numFmtId="2" fontId="82" fillId="50" borderId="16" xfId="996" applyNumberFormat="1" applyFont="1" applyFill="1" applyBorder="1" applyAlignment="1">
      <alignment horizontal="center" vertical="center" wrapText="1"/>
    </xf>
    <xf numFmtId="0" fontId="82" fillId="57" borderId="16" xfId="996" applyFont="1" applyFill="1" applyBorder="1" applyAlignment="1">
      <alignment horizontal="left" vertical="center"/>
    </xf>
    <xf numFmtId="4" fontId="6" fillId="53" borderId="0" xfId="0" applyNumberFormat="1" applyFont="1" applyFill="1" applyAlignment="1">
      <alignment horizontal="center" vertical="center"/>
    </xf>
    <xf numFmtId="164" fontId="77" fillId="48" borderId="16" xfId="945" applyFont="1" applyFill="1" applyBorder="1" applyAlignment="1">
      <alignment horizontal="center" vertical="center"/>
    </xf>
    <xf numFmtId="0" fontId="92" fillId="56" borderId="86" xfId="0" applyFont="1" applyFill="1" applyBorder="1" applyAlignment="1">
      <alignment horizontal="center" vertical="center" wrapText="1"/>
    </xf>
    <xf numFmtId="44" fontId="82" fillId="50" borderId="16" xfId="203" applyFont="1" applyFill="1" applyBorder="1" applyAlignment="1">
      <alignment horizontal="right" vertical="center" wrapText="1"/>
    </xf>
    <xf numFmtId="4" fontId="5" fillId="53" borderId="0" xfId="292" applyNumberFormat="1" applyFill="1" applyAlignment="1">
      <alignment horizontal="center" vertical="center"/>
    </xf>
    <xf numFmtId="44" fontId="5" fillId="0" borderId="0" xfId="195" applyFont="1" applyFill="1" applyAlignment="1">
      <alignment horizontal="right" vertical="center"/>
    </xf>
    <xf numFmtId="44" fontId="85" fillId="0" borderId="0" xfId="195" applyFont="1" applyFill="1" applyAlignment="1">
      <alignment horizontal="right" vertical="center"/>
    </xf>
    <xf numFmtId="2" fontId="6" fillId="60" borderId="62" xfId="994" applyNumberFormat="1" applyFont="1" applyFill="1" applyBorder="1" applyAlignment="1">
      <alignment horizontal="center" vertical="center" wrapText="1"/>
    </xf>
    <xf numFmtId="2" fontId="6" fillId="60" borderId="62" xfId="994" applyNumberFormat="1" applyFont="1" applyFill="1" applyBorder="1" applyAlignment="1">
      <alignment vertical="center" wrapText="1"/>
    </xf>
    <xf numFmtId="2" fontId="6" fillId="48" borderId="119" xfId="0" applyNumberFormat="1" applyFont="1" applyFill="1" applyBorder="1" applyAlignment="1">
      <alignment horizontal="center" vertical="center"/>
    </xf>
    <xf numFmtId="4" fontId="6" fillId="48" borderId="42" xfId="0" applyNumberFormat="1" applyFont="1" applyFill="1" applyBorder="1" applyAlignment="1">
      <alignment horizontal="left" vertical="center"/>
    </xf>
    <xf numFmtId="49" fontId="6" fillId="48" borderId="42" xfId="0" applyNumberFormat="1" applyFont="1" applyFill="1" applyBorder="1" applyAlignment="1">
      <alignment horizontal="center" vertical="center"/>
    </xf>
    <xf numFmtId="49" fontId="6" fillId="48" borderId="35" xfId="0" applyNumberFormat="1" applyFont="1" applyFill="1" applyBorder="1" applyAlignment="1">
      <alignment horizontal="center" vertical="center"/>
    </xf>
    <xf numFmtId="4" fontId="6" fillId="48" borderId="18" xfId="0" applyNumberFormat="1" applyFont="1" applyFill="1" applyBorder="1" applyAlignment="1">
      <alignment horizontal="left" vertical="center"/>
    </xf>
    <xf numFmtId="49" fontId="6" fillId="48" borderId="18" xfId="0" applyNumberFormat="1" applyFont="1" applyFill="1" applyBorder="1" applyAlignment="1">
      <alignment horizontal="center" vertical="center"/>
    </xf>
    <xf numFmtId="4" fontId="6" fillId="51" borderId="0" xfId="945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50" borderId="17" xfId="0" applyFont="1" applyFill="1" applyBorder="1" applyAlignment="1">
      <alignment vertical="center"/>
    </xf>
    <xf numFmtId="0" fontId="5" fillId="50" borderId="17" xfId="0" applyFont="1" applyFill="1" applyBorder="1" applyAlignment="1">
      <alignment horizontal="right" vertical="center"/>
    </xf>
    <xf numFmtId="0" fontId="6" fillId="48" borderId="8" xfId="0" applyFont="1" applyFill="1" applyBorder="1" applyAlignment="1">
      <alignment horizontal="left" vertical="center"/>
    </xf>
    <xf numFmtId="0" fontId="6" fillId="48" borderId="8" xfId="0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50" borderId="17" xfId="0" applyFont="1" applyFill="1" applyBorder="1" applyAlignment="1">
      <alignment horizontal="left" vertical="center" wrapText="1"/>
    </xf>
    <xf numFmtId="0" fontId="6" fillId="48" borderId="65" xfId="0" applyFont="1" applyFill="1" applyBorder="1" applyAlignment="1">
      <alignment horizontal="center" vertical="center"/>
    </xf>
    <xf numFmtId="0" fontId="6" fillId="48" borderId="121" xfId="0" applyFont="1" applyFill="1" applyBorder="1" applyAlignment="1">
      <alignment horizontal="center" vertical="center"/>
    </xf>
    <xf numFmtId="0" fontId="5" fillId="0" borderId="122" xfId="0" applyFont="1" applyBorder="1" applyAlignment="1">
      <alignment vertical="center"/>
    </xf>
    <xf numFmtId="0" fontId="5" fillId="0" borderId="121" xfId="0" applyFont="1" applyBorder="1" applyAlignment="1">
      <alignment vertical="center"/>
    </xf>
    <xf numFmtId="0" fontId="5" fillId="0" borderId="121" xfId="0" applyFont="1" applyBorder="1" applyAlignment="1">
      <alignment horizontal="center" vertical="center"/>
    </xf>
    <xf numFmtId="0" fontId="5" fillId="0" borderId="123" xfId="0" applyFont="1" applyBorder="1" applyAlignment="1">
      <alignment horizontal="center" vertical="center"/>
    </xf>
    <xf numFmtId="0" fontId="5" fillId="0" borderId="124" xfId="0" applyFont="1" applyBorder="1" applyAlignment="1">
      <alignment vertical="center"/>
    </xf>
    <xf numFmtId="0" fontId="6" fillId="46" borderId="125" xfId="0" applyFont="1" applyFill="1" applyBorder="1" applyAlignment="1">
      <alignment horizontal="center" vertical="center" wrapText="1"/>
    </xf>
    <xf numFmtId="4" fontId="5" fillId="0" borderId="124" xfId="0" applyNumberFormat="1" applyFont="1" applyBorder="1" applyAlignment="1">
      <alignment vertical="center"/>
    </xf>
    <xf numFmtId="0" fontId="5" fillId="0" borderId="125" xfId="0" applyFont="1" applyBorder="1" applyAlignment="1">
      <alignment horizontal="center" vertical="center"/>
    </xf>
    <xf numFmtId="0" fontId="38" fillId="46" borderId="125" xfId="0" applyFont="1" applyFill="1" applyBorder="1" applyAlignment="1">
      <alignment horizontal="center" vertical="center" wrapText="1"/>
    </xf>
    <xf numFmtId="0" fontId="80" fillId="56" borderId="126" xfId="0" applyFont="1" applyFill="1" applyBorder="1" applyAlignment="1">
      <alignment horizontal="center" vertical="center" wrapText="1"/>
    </xf>
    <xf numFmtId="0" fontId="80" fillId="56" borderId="127" xfId="0" applyFont="1" applyFill="1" applyBorder="1" applyAlignment="1">
      <alignment horizontal="center" vertical="center" wrapText="1"/>
    </xf>
    <xf numFmtId="49" fontId="6" fillId="48" borderId="61" xfId="0" applyNumberFormat="1" applyFont="1" applyFill="1" applyBorder="1" applyAlignment="1">
      <alignment horizontal="center" vertical="center"/>
    </xf>
    <xf numFmtId="0" fontId="6" fillId="48" borderId="123" xfId="0" applyFont="1" applyFill="1" applyBorder="1" applyAlignment="1">
      <alignment horizontal="center" vertical="center"/>
    </xf>
    <xf numFmtId="49" fontId="6" fillId="48" borderId="128" xfId="0" applyNumberFormat="1" applyFont="1" applyFill="1" applyBorder="1" applyAlignment="1">
      <alignment horizontal="center" vertical="center"/>
    </xf>
    <xf numFmtId="0" fontId="6" fillId="48" borderId="129" xfId="0" applyFont="1" applyFill="1" applyBorder="1" applyAlignment="1">
      <alignment horizontal="center" vertical="center"/>
    </xf>
    <xf numFmtId="0" fontId="6" fillId="48" borderId="130" xfId="0" applyFont="1" applyFill="1" applyBorder="1" applyAlignment="1">
      <alignment horizontal="center" vertical="center"/>
    </xf>
    <xf numFmtId="2" fontId="6" fillId="48" borderId="131" xfId="0" applyNumberFormat="1" applyFont="1" applyFill="1" applyBorder="1" applyAlignment="1">
      <alignment horizontal="center" vertical="center"/>
    </xf>
    <xf numFmtId="2" fontId="6" fillId="48" borderId="124" xfId="0" applyNumberFormat="1" applyFont="1" applyFill="1" applyBorder="1" applyAlignment="1">
      <alignment horizontal="center" vertical="center"/>
    </xf>
    <xf numFmtId="49" fontId="6" fillId="48" borderId="125" xfId="0" applyNumberFormat="1" applyFont="1" applyFill="1" applyBorder="1" applyAlignment="1">
      <alignment horizontal="center" vertical="center"/>
    </xf>
    <xf numFmtId="49" fontId="6" fillId="48" borderId="130" xfId="0" applyNumberFormat="1" applyFont="1" applyFill="1" applyBorder="1" applyAlignment="1">
      <alignment horizontal="center" vertical="center"/>
    </xf>
    <xf numFmtId="2" fontId="6" fillId="48" borderId="132" xfId="0" applyNumberFormat="1" applyFont="1" applyFill="1" applyBorder="1" applyAlignment="1">
      <alignment horizontal="center" vertical="center"/>
    </xf>
    <xf numFmtId="49" fontId="6" fillId="48" borderId="133" xfId="0" applyNumberFormat="1" applyFont="1" applyFill="1" applyBorder="1" applyAlignment="1">
      <alignment horizontal="center" vertical="center"/>
    </xf>
    <xf numFmtId="2" fontId="6" fillId="60" borderId="107" xfId="994" applyNumberFormat="1" applyFont="1" applyFill="1" applyBorder="1" applyAlignment="1">
      <alignment vertical="center" wrapText="1"/>
    </xf>
    <xf numFmtId="0" fontId="5" fillId="50" borderId="57" xfId="0" applyFont="1" applyFill="1" applyBorder="1" applyAlignment="1">
      <alignment horizontal="center" vertical="center"/>
    </xf>
    <xf numFmtId="2" fontId="5" fillId="50" borderId="134" xfId="0" applyNumberFormat="1" applyFont="1" applyFill="1" applyBorder="1" applyAlignment="1">
      <alignment horizontal="center" vertical="center"/>
    </xf>
    <xf numFmtId="0" fontId="5" fillId="50" borderId="77" xfId="0" applyFont="1" applyFill="1" applyBorder="1" applyAlignment="1">
      <alignment horizontal="center" vertical="center"/>
    </xf>
    <xf numFmtId="4" fontId="82" fillId="50" borderId="17" xfId="945" applyNumberFormat="1" applyFont="1" applyFill="1" applyBorder="1" applyAlignment="1">
      <alignment horizontal="center" vertical="center"/>
    </xf>
    <xf numFmtId="44" fontId="82" fillId="50" borderId="17" xfId="264" applyFont="1" applyFill="1" applyBorder="1" applyAlignment="1">
      <alignment horizontal="center" vertical="center"/>
    </xf>
    <xf numFmtId="4" fontId="87" fillId="50" borderId="66" xfId="994" applyNumberFormat="1" applyFont="1" applyFill="1" applyBorder="1" applyAlignment="1">
      <alignment horizontal="center" vertical="center"/>
    </xf>
    <xf numFmtId="0" fontId="5" fillId="50" borderId="24" xfId="0" applyFont="1" applyFill="1" applyBorder="1" applyAlignment="1">
      <alignment vertical="center"/>
    </xf>
    <xf numFmtId="0" fontId="0" fillId="50" borderId="16" xfId="0" applyFill="1" applyBorder="1"/>
    <xf numFmtId="44" fontId="82" fillId="50" borderId="16" xfId="195" applyFont="1" applyFill="1" applyBorder="1" applyAlignment="1">
      <alignment horizontal="center" vertical="center" wrapText="1"/>
    </xf>
    <xf numFmtId="4" fontId="6" fillId="51" borderId="0" xfId="0" applyNumberFormat="1" applyFont="1" applyFill="1" applyAlignment="1">
      <alignment horizontal="center" vertical="center"/>
    </xf>
    <xf numFmtId="44" fontId="0" fillId="0" borderId="16" xfId="0" applyNumberFormat="1" applyBorder="1" applyAlignment="1">
      <alignment horizontal="center" vertical="center"/>
    </xf>
    <xf numFmtId="44" fontId="5" fillId="53" borderId="46" xfId="203" applyFont="1" applyFill="1" applyBorder="1" applyAlignment="1">
      <alignment horizontal="center" vertical="center"/>
    </xf>
    <xf numFmtId="44" fontId="0" fillId="50" borderId="24" xfId="195" applyFont="1" applyFill="1" applyBorder="1" applyAlignment="1">
      <alignment horizontal="center" vertical="center"/>
    </xf>
    <xf numFmtId="44" fontId="5" fillId="51" borderId="0" xfId="195" applyFont="1" applyFill="1" applyBorder="1" applyAlignment="1">
      <alignment horizontal="center" vertical="center"/>
    </xf>
    <xf numFmtId="0" fontId="6" fillId="48" borderId="38" xfId="0" applyFont="1" applyFill="1" applyBorder="1" applyAlignment="1">
      <alignment horizontal="left" vertical="center" wrapText="1"/>
    </xf>
    <xf numFmtId="0" fontId="6" fillId="48" borderId="38" xfId="0" applyFont="1" applyFill="1" applyBorder="1" applyAlignment="1">
      <alignment horizontal="center" vertical="center"/>
    </xf>
    <xf numFmtId="0" fontId="6" fillId="48" borderId="64" xfId="0" applyFont="1" applyFill="1" applyBorder="1" applyAlignment="1">
      <alignment horizontal="center" vertical="center"/>
    </xf>
    <xf numFmtId="49" fontId="75" fillId="48" borderId="135" xfId="0" applyNumberFormat="1" applyFont="1" applyFill="1" applyBorder="1" applyAlignment="1">
      <alignment horizontal="center" vertical="center"/>
    </xf>
    <xf numFmtId="49" fontId="75" fillId="48" borderId="136" xfId="0" applyNumberFormat="1" applyFont="1" applyFill="1" applyBorder="1" applyAlignment="1">
      <alignment horizontal="center" vertical="center"/>
    </xf>
    <xf numFmtId="49" fontId="75" fillId="48" borderId="136" xfId="0" applyNumberFormat="1" applyFont="1" applyFill="1" applyBorder="1" applyAlignment="1">
      <alignment horizontal="left" vertical="center"/>
    </xf>
    <xf numFmtId="44" fontId="75" fillId="48" borderId="137" xfId="195" applyFont="1" applyFill="1" applyBorder="1" applyAlignment="1">
      <alignment horizontal="right" vertical="center"/>
    </xf>
    <xf numFmtId="44" fontId="5" fillId="53" borderId="46" xfId="195" applyFont="1" applyFill="1" applyBorder="1" applyAlignment="1">
      <alignment horizontal="center" vertical="center"/>
    </xf>
    <xf numFmtId="44" fontId="5" fillId="50" borderId="46" xfId="203" applyFont="1" applyFill="1" applyBorder="1" applyAlignment="1">
      <alignment horizontal="center" vertical="center"/>
    </xf>
    <xf numFmtId="44" fontId="5" fillId="0" borderId="46" xfId="203" applyFont="1" applyFill="1" applyBorder="1" applyAlignment="1">
      <alignment horizontal="center" vertical="center"/>
    </xf>
    <xf numFmtId="44" fontId="5" fillId="50" borderId="46" xfId="195" applyFont="1" applyFill="1" applyBorder="1" applyAlignment="1">
      <alignment horizontal="center" vertical="center"/>
    </xf>
    <xf numFmtId="44" fontId="79" fillId="54" borderId="45" xfId="195" applyFont="1" applyFill="1" applyBorder="1" applyAlignment="1">
      <alignment horizontal="right" vertical="center"/>
    </xf>
    <xf numFmtId="0" fontId="5" fillId="53" borderId="16" xfId="0" applyFont="1" applyFill="1" applyBorder="1" applyAlignment="1">
      <alignment horizontal="center" vertical="center"/>
    </xf>
    <xf numFmtId="4" fontId="5" fillId="53" borderId="16" xfId="0" applyNumberFormat="1" applyFont="1" applyFill="1" applyBorder="1" applyAlignment="1">
      <alignment horizontal="center" vertical="center"/>
    </xf>
    <xf numFmtId="0" fontId="5" fillId="50" borderId="16" xfId="0" applyFont="1" applyFill="1" applyBorder="1"/>
    <xf numFmtId="49" fontId="5" fillId="50" borderId="59" xfId="0" applyNumberFormat="1" applyFont="1" applyFill="1" applyBorder="1" applyAlignment="1">
      <alignment horizontal="center" vertical="center"/>
    </xf>
    <xf numFmtId="4" fontId="76" fillId="50" borderId="63" xfId="650" quotePrefix="1" applyNumberFormat="1" applyFont="1" applyFill="1" applyBorder="1" applyAlignment="1">
      <alignment horizontal="center" vertical="center"/>
    </xf>
    <xf numFmtId="49" fontId="5" fillId="50" borderId="63" xfId="0" applyNumberFormat="1" applyFont="1" applyFill="1" applyBorder="1" applyAlignment="1">
      <alignment horizontal="center" vertical="center"/>
    </xf>
    <xf numFmtId="2" fontId="0" fillId="0" borderId="63" xfId="0" applyNumberFormat="1" applyBorder="1" applyAlignment="1">
      <alignment horizontal="center" vertical="center"/>
    </xf>
    <xf numFmtId="44" fontId="0" fillId="0" borderId="63" xfId="0" applyNumberFormat="1" applyBorder="1" applyAlignment="1">
      <alignment horizontal="center" vertical="center"/>
    </xf>
    <xf numFmtId="44" fontId="0" fillId="0" borderId="56" xfId="195" applyFont="1" applyBorder="1" applyAlignment="1">
      <alignment horizontal="center" vertical="center"/>
    </xf>
    <xf numFmtId="49" fontId="5" fillId="50" borderId="112" xfId="0" applyNumberFormat="1" applyFont="1" applyFill="1" applyBorder="1" applyAlignment="1">
      <alignment horizontal="center" vertical="center"/>
    </xf>
    <xf numFmtId="49" fontId="5" fillId="50" borderId="17" xfId="0" applyNumberFormat="1" applyFont="1" applyFill="1" applyBorder="1" applyAlignment="1">
      <alignment horizontal="left" vertical="center"/>
    </xf>
    <xf numFmtId="49" fontId="5" fillId="50" borderId="17" xfId="0" applyNumberFormat="1" applyFont="1" applyFill="1" applyBorder="1" applyAlignment="1">
      <alignment horizontal="center" vertical="center"/>
    </xf>
    <xf numFmtId="2" fontId="0" fillId="0" borderId="17" xfId="0" applyNumberFormat="1" applyBorder="1" applyAlignment="1">
      <alignment horizontal="center"/>
    </xf>
    <xf numFmtId="44" fontId="0" fillId="0" borderId="17" xfId="0" applyNumberFormat="1" applyBorder="1" applyAlignment="1">
      <alignment horizontal="center" vertical="center"/>
    </xf>
    <xf numFmtId="44" fontId="0" fillId="0" borderId="66" xfId="195" applyFont="1" applyBorder="1" applyAlignment="1">
      <alignment horizontal="center" vertical="center"/>
    </xf>
    <xf numFmtId="49" fontId="76" fillId="50" borderId="40" xfId="945" applyNumberFormat="1" applyFont="1" applyFill="1" applyBorder="1" applyAlignment="1">
      <alignment horizontal="center" vertical="center"/>
    </xf>
    <xf numFmtId="4" fontId="82" fillId="50" borderId="40" xfId="0" applyNumberFormat="1" applyFont="1" applyFill="1" applyBorder="1" applyAlignment="1">
      <alignment vertical="center" wrapText="1"/>
    </xf>
    <xf numFmtId="0" fontId="5" fillId="50" borderId="40" xfId="0" applyFont="1" applyFill="1" applyBorder="1" applyAlignment="1">
      <alignment horizontal="center" vertical="center"/>
    </xf>
    <xf numFmtId="2" fontId="82" fillId="59" borderId="40" xfId="203" applyNumberFormat="1" applyFont="1" applyFill="1" applyBorder="1" applyAlignment="1">
      <alignment horizontal="center" vertical="center" wrapText="1"/>
    </xf>
    <xf numFmtId="0" fontId="6" fillId="48" borderId="136" xfId="0" applyFont="1" applyFill="1" applyBorder="1" applyAlignment="1">
      <alignment vertical="center"/>
    </xf>
    <xf numFmtId="0" fontId="75" fillId="48" borderId="136" xfId="0" applyFont="1" applyFill="1" applyBorder="1" applyAlignment="1">
      <alignment vertical="center"/>
    </xf>
    <xf numFmtId="49" fontId="76" fillId="50" borderId="63" xfId="945" applyNumberFormat="1" applyFont="1" applyFill="1" applyBorder="1" applyAlignment="1">
      <alignment horizontal="center" vertical="center"/>
    </xf>
    <xf numFmtId="4" fontId="82" fillId="50" borderId="63" xfId="0" applyNumberFormat="1" applyFont="1" applyFill="1" applyBorder="1" applyAlignment="1">
      <alignment vertical="center" wrapText="1"/>
    </xf>
    <xf numFmtId="0" fontId="5" fillId="50" borderId="63" xfId="0" applyFont="1" applyFill="1" applyBorder="1" applyAlignment="1">
      <alignment horizontal="center" vertical="center"/>
    </xf>
    <xf numFmtId="2" fontId="82" fillId="59" borderId="63" xfId="203" applyNumberFormat="1" applyFont="1" applyFill="1" applyBorder="1" applyAlignment="1">
      <alignment horizontal="center" vertical="center" wrapText="1"/>
    </xf>
    <xf numFmtId="0" fontId="87" fillId="53" borderId="63" xfId="0" applyFont="1" applyFill="1" applyBorder="1" applyAlignment="1">
      <alignment horizontal="center" vertical="center" wrapText="1"/>
    </xf>
    <xf numFmtId="44" fontId="82" fillId="50" borderId="63" xfId="203" applyFont="1" applyFill="1" applyBorder="1" applyAlignment="1">
      <alignment horizontal="center" vertical="center" wrapText="1"/>
    </xf>
    <xf numFmtId="44" fontId="82" fillId="50" borderId="56" xfId="203" applyFont="1" applyFill="1" applyBorder="1" applyAlignment="1">
      <alignment horizontal="center" vertical="center"/>
    </xf>
    <xf numFmtId="49" fontId="5" fillId="50" borderId="60" xfId="0" applyNumberFormat="1" applyFont="1" applyFill="1" applyBorder="1" applyAlignment="1">
      <alignment horizontal="center" vertical="center"/>
    </xf>
    <xf numFmtId="44" fontId="82" fillId="50" borderId="57" xfId="203" applyFont="1" applyFill="1" applyBorder="1" applyAlignment="1">
      <alignment horizontal="center" vertical="center"/>
    </xf>
    <xf numFmtId="0" fontId="6" fillId="48" borderId="136" xfId="0" applyFont="1" applyFill="1" applyBorder="1" applyAlignment="1">
      <alignment vertical="center" wrapText="1"/>
    </xf>
    <xf numFmtId="0" fontId="75" fillId="48" borderId="136" xfId="0" applyFont="1" applyFill="1" applyBorder="1" applyAlignment="1">
      <alignment vertical="center" wrapText="1"/>
    </xf>
    <xf numFmtId="44" fontId="6" fillId="48" borderId="136" xfId="0" applyNumberFormat="1" applyFont="1" applyFill="1" applyBorder="1" applyAlignment="1">
      <alignment vertical="center" wrapText="1"/>
    </xf>
    <xf numFmtId="0" fontId="5" fillId="50" borderId="40" xfId="0" applyFont="1" applyFill="1" applyBorder="1" applyAlignment="1">
      <alignment horizontal="left" vertical="center" wrapText="1"/>
    </xf>
    <xf numFmtId="0" fontId="5" fillId="0" borderId="40" xfId="0" applyFont="1" applyBorder="1" applyAlignment="1">
      <alignment horizontal="center" vertical="center"/>
    </xf>
    <xf numFmtId="0" fontId="75" fillId="58" borderId="136" xfId="0" applyFont="1" applyFill="1" applyBorder="1" applyAlignment="1">
      <alignment vertical="center" wrapText="1"/>
    </xf>
    <xf numFmtId="44" fontId="75" fillId="58" borderId="137" xfId="195" applyFont="1" applyFill="1" applyBorder="1" applyAlignment="1">
      <alignment horizontal="right" vertical="center"/>
    </xf>
    <xf numFmtId="49" fontId="76" fillId="50" borderId="24" xfId="945" applyNumberFormat="1" applyFont="1" applyFill="1" applyBorder="1" applyAlignment="1">
      <alignment horizontal="center" vertical="center"/>
    </xf>
    <xf numFmtId="44" fontId="82" fillId="50" borderId="24" xfId="203" applyFont="1" applyFill="1" applyBorder="1" applyAlignment="1">
      <alignment horizontal="center" vertical="center" wrapText="1"/>
    </xf>
    <xf numFmtId="0" fontId="5" fillId="50" borderId="40" xfId="0" applyFont="1" applyFill="1" applyBorder="1" applyAlignment="1">
      <alignment horizontal="center" vertical="center" wrapText="1"/>
    </xf>
    <xf numFmtId="2" fontId="5" fillId="50" borderId="40" xfId="0" applyNumberFormat="1" applyFont="1" applyFill="1" applyBorder="1" applyAlignment="1">
      <alignment horizontal="center" vertical="center" wrapText="1"/>
    </xf>
    <xf numFmtId="0" fontId="6" fillId="50" borderId="40" xfId="0" applyFont="1" applyFill="1" applyBorder="1" applyAlignment="1">
      <alignment vertical="center" wrapText="1"/>
    </xf>
    <xf numFmtId="44" fontId="5" fillId="50" borderId="40" xfId="0" applyNumberFormat="1" applyFont="1" applyFill="1" applyBorder="1" applyAlignment="1">
      <alignment vertical="center" wrapText="1"/>
    </xf>
    <xf numFmtId="49" fontId="75" fillId="58" borderId="135" xfId="0" applyNumberFormat="1" applyFont="1" applyFill="1" applyBorder="1" applyAlignment="1">
      <alignment horizontal="center" vertical="center"/>
    </xf>
    <xf numFmtId="0" fontId="76" fillId="50" borderId="120" xfId="0" applyFont="1" applyFill="1" applyBorder="1" applyAlignment="1">
      <alignment horizontal="center" vertical="center" wrapText="1"/>
    </xf>
    <xf numFmtId="44" fontId="5" fillId="50" borderId="107" xfId="203" applyFont="1" applyFill="1" applyBorder="1" applyAlignment="1">
      <alignment horizontal="center" vertical="center"/>
    </xf>
    <xf numFmtId="0" fontId="76" fillId="50" borderId="60" xfId="0" applyFont="1" applyFill="1" applyBorder="1" applyAlignment="1">
      <alignment horizontal="center" vertical="center" wrapText="1"/>
    </xf>
    <xf numFmtId="44" fontId="5" fillId="50" borderId="57" xfId="203" applyFont="1" applyFill="1" applyBorder="1" applyAlignment="1">
      <alignment horizontal="center" vertical="center"/>
    </xf>
    <xf numFmtId="44" fontId="5" fillId="50" borderId="57" xfId="203" applyFont="1" applyFill="1" applyBorder="1" applyAlignment="1">
      <alignment horizontal="right" vertical="center"/>
    </xf>
    <xf numFmtId="0" fontId="6" fillId="53" borderId="17" xfId="0" applyFont="1" applyFill="1" applyBorder="1" applyAlignment="1">
      <alignment vertical="center" wrapText="1"/>
    </xf>
    <xf numFmtId="4" fontId="82" fillId="50" borderId="24" xfId="0" applyNumberFormat="1" applyFont="1" applyFill="1" applyBorder="1" applyAlignment="1">
      <alignment vertical="center" wrapText="1"/>
    </xf>
    <xf numFmtId="2" fontId="82" fillId="59" borderId="24" xfId="203" applyNumberFormat="1" applyFont="1" applyFill="1" applyBorder="1" applyAlignment="1">
      <alignment horizontal="center" vertical="center" wrapText="1"/>
    </xf>
    <xf numFmtId="0" fontId="87" fillId="53" borderId="24" xfId="0" applyFont="1" applyFill="1" applyBorder="1" applyAlignment="1">
      <alignment horizontal="center" vertical="center" wrapText="1"/>
    </xf>
    <xf numFmtId="2" fontId="76" fillId="59" borderId="40" xfId="195" applyNumberFormat="1" applyFont="1" applyFill="1" applyBorder="1" applyAlignment="1">
      <alignment horizontal="center" vertical="center" wrapText="1"/>
    </xf>
    <xf numFmtId="0" fontId="6" fillId="53" borderId="40" xfId="0" applyFont="1" applyFill="1" applyBorder="1" applyAlignment="1">
      <alignment horizontal="center" vertical="center" wrapText="1"/>
    </xf>
    <xf numFmtId="44" fontId="82" fillId="59" borderId="40" xfId="195" applyFont="1" applyFill="1" applyBorder="1" applyAlignment="1">
      <alignment horizontal="center" vertical="center" wrapText="1"/>
    </xf>
    <xf numFmtId="2" fontId="5" fillId="50" borderId="24" xfId="0" applyNumberFormat="1" applyFont="1" applyFill="1" applyBorder="1" applyAlignment="1">
      <alignment horizontal="center" vertical="center" wrapText="1"/>
    </xf>
    <xf numFmtId="0" fontId="6" fillId="50" borderId="24" xfId="0" applyFont="1" applyFill="1" applyBorder="1" applyAlignment="1">
      <alignment horizontal="center" vertical="center" wrapText="1"/>
    </xf>
    <xf numFmtId="44" fontId="5" fillId="50" borderId="24" xfId="0" applyNumberFormat="1" applyFont="1" applyFill="1" applyBorder="1" applyAlignment="1">
      <alignment horizontal="center" vertical="center" wrapText="1"/>
    </xf>
    <xf numFmtId="0" fontId="5" fillId="50" borderId="40" xfId="0" applyFont="1" applyFill="1" applyBorder="1" applyAlignment="1">
      <alignment vertical="center" wrapText="1"/>
    </xf>
    <xf numFmtId="2" fontId="5" fillId="50" borderId="40" xfId="0" applyNumberFormat="1" applyFont="1" applyFill="1" applyBorder="1" applyAlignment="1">
      <alignment horizontal="center" vertical="center"/>
    </xf>
    <xf numFmtId="44" fontId="5" fillId="50" borderId="40" xfId="0" applyNumberFormat="1" applyFont="1" applyFill="1" applyBorder="1" applyAlignment="1">
      <alignment horizontal="center" vertical="center" wrapText="1"/>
    </xf>
    <xf numFmtId="2" fontId="76" fillId="59" borderId="24" xfId="195" applyNumberFormat="1" applyFont="1" applyFill="1" applyBorder="1" applyAlignment="1">
      <alignment horizontal="center" vertical="center" wrapText="1"/>
    </xf>
    <xf numFmtId="4" fontId="78" fillId="53" borderId="24" xfId="0" applyNumberFormat="1" applyFont="1" applyFill="1" applyBorder="1" applyAlignment="1">
      <alignment horizontal="center" vertical="center" wrapText="1"/>
    </xf>
    <xf numFmtId="44" fontId="76" fillId="59" borderId="24" xfId="195" applyFont="1" applyFill="1" applyBorder="1" applyAlignment="1">
      <alignment horizontal="center" vertical="center" wrapText="1"/>
    </xf>
    <xf numFmtId="44" fontId="5" fillId="0" borderId="40" xfId="0" applyNumberFormat="1" applyFont="1" applyBorder="1" applyAlignment="1">
      <alignment vertical="center" wrapText="1"/>
    </xf>
    <xf numFmtId="0" fontId="0" fillId="50" borderId="40" xfId="0" applyFill="1" applyBorder="1" applyAlignment="1">
      <alignment horizontal="center" vertical="center"/>
    </xf>
    <xf numFmtId="4" fontId="78" fillId="53" borderId="40" xfId="0" applyNumberFormat="1" applyFont="1" applyFill="1" applyBorder="1" applyAlignment="1">
      <alignment horizontal="center" vertical="center" wrapText="1"/>
    </xf>
    <xf numFmtId="44" fontId="76" fillId="59" borderId="40" xfId="195" applyFont="1" applyFill="1" applyBorder="1" applyAlignment="1">
      <alignment horizontal="center" vertical="center" wrapText="1"/>
    </xf>
    <xf numFmtId="44" fontId="75" fillId="48" borderId="137" xfId="203" applyFont="1" applyFill="1" applyBorder="1" applyAlignment="1">
      <alignment horizontal="right" vertical="center"/>
    </xf>
    <xf numFmtId="0" fontId="82" fillId="50" borderId="40" xfId="0" applyFont="1" applyFill="1" applyBorder="1" applyAlignment="1">
      <alignment horizontal="center" vertical="center"/>
    </xf>
    <xf numFmtId="0" fontId="87" fillId="53" borderId="40" xfId="0" applyFont="1" applyFill="1" applyBorder="1" applyAlignment="1">
      <alignment vertical="center" wrapText="1"/>
    </xf>
    <xf numFmtId="44" fontId="82" fillId="50" borderId="40" xfId="203" applyFont="1" applyFill="1" applyBorder="1" applyAlignment="1">
      <alignment horizontal="right" vertical="center" wrapText="1"/>
    </xf>
    <xf numFmtId="175" fontId="75" fillId="48" borderId="135" xfId="0" applyNumberFormat="1" applyFont="1" applyFill="1" applyBorder="1" applyAlignment="1">
      <alignment horizontal="center" vertical="center"/>
    </xf>
    <xf numFmtId="4" fontId="75" fillId="48" borderId="136" xfId="0" applyNumberFormat="1" applyFont="1" applyFill="1" applyBorder="1" applyAlignment="1">
      <alignment vertical="center"/>
    </xf>
    <xf numFmtId="4" fontId="75" fillId="48" borderId="136" xfId="0" applyNumberFormat="1" applyFont="1" applyFill="1" applyBorder="1" applyAlignment="1">
      <alignment vertical="center" wrapText="1"/>
    </xf>
    <xf numFmtId="0" fontId="79" fillId="48" borderId="136" xfId="0" applyFont="1" applyFill="1" applyBorder="1" applyAlignment="1">
      <alignment vertical="center"/>
    </xf>
    <xf numFmtId="44" fontId="75" fillId="48" borderId="137" xfId="0" applyNumberFormat="1" applyFont="1" applyFill="1" applyBorder="1" applyAlignment="1">
      <alignment vertical="center"/>
    </xf>
    <xf numFmtId="0" fontId="82" fillId="50" borderId="24" xfId="0" applyFont="1" applyFill="1" applyBorder="1" applyAlignment="1">
      <alignment horizontal="center" vertical="center"/>
    </xf>
    <xf numFmtId="0" fontId="87" fillId="53" borderId="24" xfId="0" applyFont="1" applyFill="1" applyBorder="1" applyAlignment="1">
      <alignment vertical="center" wrapText="1"/>
    </xf>
    <xf numFmtId="44" fontId="82" fillId="50" borderId="24" xfId="203" applyFont="1" applyFill="1" applyBorder="1" applyAlignment="1">
      <alignment horizontal="right" vertical="center" wrapText="1"/>
    </xf>
    <xf numFmtId="49" fontId="5" fillId="50" borderId="120" xfId="0" applyNumberFormat="1" applyFont="1" applyFill="1" applyBorder="1" applyAlignment="1">
      <alignment horizontal="center" vertical="center"/>
    </xf>
    <xf numFmtId="49" fontId="5" fillId="50" borderId="61" xfId="0" applyNumberFormat="1" applyFont="1" applyFill="1" applyBorder="1" applyAlignment="1">
      <alignment horizontal="center" vertical="center"/>
    </xf>
    <xf numFmtId="44" fontId="82" fillId="50" borderId="58" xfId="203" applyFont="1" applyFill="1" applyBorder="1" applyAlignment="1">
      <alignment horizontal="center" vertical="center"/>
    </xf>
    <xf numFmtId="44" fontId="82" fillId="50" borderId="107" xfId="195" applyFont="1" applyFill="1" applyBorder="1" applyAlignment="1">
      <alignment horizontal="center" vertical="center"/>
    </xf>
    <xf numFmtId="44" fontId="82" fillId="50" borderId="57" xfId="195" applyFont="1" applyFill="1" applyBorder="1" applyAlignment="1">
      <alignment horizontal="center" vertical="center"/>
    </xf>
    <xf numFmtId="44" fontId="82" fillId="50" borderId="58" xfId="195" applyFont="1" applyFill="1" applyBorder="1" applyAlignment="1">
      <alignment horizontal="center" vertical="center"/>
    </xf>
    <xf numFmtId="44" fontId="76" fillId="50" borderId="57" xfId="203" applyFont="1" applyFill="1" applyBorder="1" applyAlignment="1">
      <alignment horizontal="right" vertical="center"/>
    </xf>
    <xf numFmtId="44" fontId="5" fillId="50" borderId="57" xfId="195" applyFont="1" applyFill="1" applyBorder="1" applyAlignment="1">
      <alignment horizontal="center" vertical="center"/>
    </xf>
    <xf numFmtId="44" fontId="76" fillId="50" borderId="58" xfId="195" applyFont="1" applyFill="1" applyBorder="1" applyAlignment="1">
      <alignment horizontal="center" vertical="center"/>
    </xf>
    <xf numFmtId="44" fontId="76" fillId="50" borderId="107" xfId="195" applyFont="1" applyFill="1" applyBorder="1" applyAlignment="1">
      <alignment horizontal="center" vertical="center"/>
    </xf>
    <xf numFmtId="44" fontId="76" fillId="50" borderId="57" xfId="195" applyFont="1" applyFill="1" applyBorder="1" applyAlignment="1">
      <alignment horizontal="center" vertical="center"/>
    </xf>
    <xf numFmtId="44" fontId="82" fillId="50" borderId="107" xfId="203" applyFont="1" applyFill="1" applyBorder="1" applyAlignment="1">
      <alignment horizontal="right" vertical="center"/>
    </xf>
    <xf numFmtId="44" fontId="82" fillId="50" borderId="57" xfId="203" applyFont="1" applyFill="1" applyBorder="1" applyAlignment="1">
      <alignment horizontal="right" vertical="center"/>
    </xf>
    <xf numFmtId="0" fontId="76" fillId="50" borderId="61" xfId="0" applyFont="1" applyFill="1" applyBorder="1" applyAlignment="1">
      <alignment horizontal="center" vertical="center" wrapText="1"/>
    </xf>
    <xf numFmtId="44" fontId="82" fillId="50" borderId="58" xfId="203" applyFont="1" applyFill="1" applyBorder="1" applyAlignment="1">
      <alignment horizontal="right" vertical="center"/>
    </xf>
    <xf numFmtId="0" fontId="76" fillId="50" borderId="48" xfId="0" applyFont="1" applyFill="1" applyBorder="1" applyAlignment="1">
      <alignment horizontal="center" vertical="center" wrapText="1"/>
    </xf>
    <xf numFmtId="0" fontId="5" fillId="50" borderId="51" xfId="0" applyFont="1" applyFill="1" applyBorder="1" applyAlignment="1">
      <alignment horizontal="left" vertical="center" wrapText="1"/>
    </xf>
    <xf numFmtId="0" fontId="5" fillId="50" borderId="51" xfId="0" applyFont="1" applyFill="1" applyBorder="1" applyAlignment="1">
      <alignment horizontal="center" vertical="center"/>
    </xf>
    <xf numFmtId="4" fontId="5" fillId="50" borderId="51" xfId="0" applyNumberFormat="1" applyFont="1" applyFill="1" applyBorder="1" applyAlignment="1">
      <alignment horizontal="center" vertical="center"/>
    </xf>
    <xf numFmtId="10" fontId="5" fillId="50" borderId="51" xfId="764" applyNumberFormat="1" applyFont="1" applyFill="1" applyBorder="1" applyAlignment="1">
      <alignment horizontal="center" vertical="center"/>
    </xf>
    <xf numFmtId="44" fontId="82" fillId="59" borderId="51" xfId="203" applyFont="1" applyFill="1" applyBorder="1" applyAlignment="1">
      <alignment horizontal="center" vertical="center" wrapText="1"/>
    </xf>
    <xf numFmtId="44" fontId="82" fillId="50" borderId="49" xfId="203" applyFont="1" applyFill="1" applyBorder="1" applyAlignment="1">
      <alignment horizontal="center" vertical="center"/>
    </xf>
    <xf numFmtId="0" fontId="5" fillId="50" borderId="63" xfId="650" quotePrefix="1" applyFont="1" applyFill="1" applyBorder="1" applyAlignment="1">
      <alignment horizontal="center" vertical="center"/>
    </xf>
    <xf numFmtId="0" fontId="5" fillId="50" borderId="40" xfId="650" quotePrefix="1" applyFont="1" applyFill="1" applyBorder="1" applyAlignment="1">
      <alignment horizontal="center" vertical="center"/>
    </xf>
    <xf numFmtId="0" fontId="5" fillId="50" borderId="16" xfId="0" applyFont="1" applyFill="1" applyBorder="1" applyAlignment="1">
      <alignment horizontal="center"/>
    </xf>
    <xf numFmtId="0" fontId="5" fillId="50" borderId="24" xfId="650" quotePrefix="1" applyFont="1" applyFill="1" applyBorder="1" applyAlignment="1">
      <alignment horizontal="center" vertical="center"/>
    </xf>
    <xf numFmtId="0" fontId="88" fillId="50" borderId="16" xfId="0" applyFont="1" applyFill="1" applyBorder="1" applyAlignment="1">
      <alignment horizontal="center"/>
    </xf>
    <xf numFmtId="49" fontId="0" fillId="0" borderId="16" xfId="0" applyNumberFormat="1" applyBorder="1" applyAlignment="1">
      <alignment horizontal="left" vertical="center" wrapText="1"/>
    </xf>
    <xf numFmtId="10" fontId="6" fillId="48" borderId="19" xfId="0" applyNumberFormat="1" applyFont="1" applyFill="1" applyBorder="1" applyAlignment="1">
      <alignment horizontal="right" vertical="center"/>
    </xf>
    <xf numFmtId="170" fontId="6" fillId="55" borderId="13" xfId="945" applyNumberFormat="1" applyFont="1" applyFill="1" applyBorder="1" applyAlignment="1">
      <alignment horizontal="right" vertical="center"/>
    </xf>
    <xf numFmtId="49" fontId="5" fillId="50" borderId="48" xfId="0" applyNumberFormat="1" applyFont="1" applyFill="1" applyBorder="1" applyAlignment="1">
      <alignment horizontal="center" vertical="center"/>
    </xf>
    <xf numFmtId="0" fontId="75" fillId="48" borderId="119" xfId="0" applyFont="1" applyFill="1" applyBorder="1" applyAlignment="1">
      <alignment horizontal="center" vertical="center"/>
    </xf>
    <xf numFmtId="0" fontId="6" fillId="48" borderId="135" xfId="0" applyFont="1" applyFill="1" applyBorder="1" applyAlignment="1">
      <alignment vertical="center" wrapText="1"/>
    </xf>
    <xf numFmtId="0" fontId="75" fillId="58" borderId="122" xfId="0" applyFont="1" applyFill="1" applyBorder="1" applyAlignment="1">
      <alignment horizontal="center" vertical="center" wrapText="1"/>
    </xf>
    <xf numFmtId="0" fontId="75" fillId="58" borderId="47" xfId="0" applyFont="1" applyFill="1" applyBorder="1" applyAlignment="1">
      <alignment vertical="center" wrapText="1"/>
    </xf>
    <xf numFmtId="0" fontId="75" fillId="58" borderId="50" xfId="0" applyFont="1" applyFill="1" applyBorder="1" applyAlignment="1">
      <alignment vertical="center" wrapText="1"/>
    </xf>
    <xf numFmtId="44" fontId="75" fillId="58" borderId="44" xfId="195" applyFont="1" applyFill="1" applyBorder="1" applyAlignment="1">
      <alignment horizontal="right" vertical="center"/>
    </xf>
    <xf numFmtId="49" fontId="75" fillId="58" borderId="48" xfId="0" applyNumberFormat="1" applyFont="1" applyFill="1" applyBorder="1" applyAlignment="1">
      <alignment horizontal="center" vertical="center"/>
    </xf>
    <xf numFmtId="0" fontId="75" fillId="58" borderId="51" xfId="0" applyFont="1" applyFill="1" applyBorder="1" applyAlignment="1">
      <alignment vertical="center" wrapText="1"/>
    </xf>
    <xf numFmtId="44" fontId="75" fillId="58" borderId="49" xfId="195" applyFont="1" applyFill="1" applyBorder="1" applyAlignment="1">
      <alignment horizontal="right" vertical="center"/>
    </xf>
    <xf numFmtId="0" fontId="0" fillId="0" borderId="16" xfId="0" applyBorder="1"/>
    <xf numFmtId="0" fontId="76" fillId="50" borderId="59" xfId="0" applyFont="1" applyFill="1" applyBorder="1" applyAlignment="1">
      <alignment horizontal="center" vertical="center" wrapText="1"/>
    </xf>
    <xf numFmtId="2" fontId="5" fillId="0" borderId="63" xfId="0" applyNumberFormat="1" applyFont="1" applyBorder="1" applyAlignment="1">
      <alignment horizontal="center" vertical="center" wrapText="1"/>
    </xf>
    <xf numFmtId="0" fontId="6" fillId="53" borderId="63" xfId="0" applyFont="1" applyFill="1" applyBorder="1" applyAlignment="1">
      <alignment vertical="center" wrapText="1"/>
    </xf>
    <xf numFmtId="44" fontId="5" fillId="50" borderId="56" xfId="203" applyFont="1" applyFill="1" applyBorder="1" applyAlignment="1">
      <alignment horizontal="center" vertical="center"/>
    </xf>
    <xf numFmtId="44" fontId="0" fillId="0" borderId="0" xfId="195" applyFont="1"/>
    <xf numFmtId="0" fontId="5" fillId="50" borderId="38" xfId="650" quotePrefix="1" applyFont="1" applyFill="1" applyBorder="1" applyAlignment="1">
      <alignment horizontal="center" vertical="center"/>
    </xf>
    <xf numFmtId="4" fontId="82" fillId="50" borderId="38" xfId="0" applyNumberFormat="1" applyFont="1" applyFill="1" applyBorder="1" applyAlignment="1">
      <alignment vertical="center" wrapText="1"/>
    </xf>
    <xf numFmtId="0" fontId="82" fillId="50" borderId="38" xfId="0" applyFont="1" applyFill="1" applyBorder="1" applyAlignment="1">
      <alignment horizontal="center" vertical="center"/>
    </xf>
    <xf numFmtId="2" fontId="82" fillId="59" borderId="38" xfId="203" applyNumberFormat="1" applyFont="1" applyFill="1" applyBorder="1" applyAlignment="1">
      <alignment horizontal="center" vertical="center" wrapText="1"/>
    </xf>
    <xf numFmtId="0" fontId="87" fillId="53" borderId="38" xfId="0" applyFont="1" applyFill="1" applyBorder="1" applyAlignment="1">
      <alignment vertical="center" wrapText="1"/>
    </xf>
    <xf numFmtId="49" fontId="76" fillId="50" borderId="38" xfId="945" applyNumberFormat="1" applyFont="1" applyFill="1" applyBorder="1" applyAlignment="1">
      <alignment horizontal="center" vertical="center"/>
    </xf>
    <xf numFmtId="0" fontId="5" fillId="50" borderId="38" xfId="0" applyFont="1" applyFill="1" applyBorder="1" applyAlignment="1">
      <alignment horizontal="center" vertical="center"/>
    </xf>
    <xf numFmtId="0" fontId="87" fillId="50" borderId="38" xfId="0" applyFont="1" applyFill="1" applyBorder="1" applyAlignment="1">
      <alignment horizontal="center" vertical="center" wrapText="1"/>
    </xf>
    <xf numFmtId="44" fontId="82" fillId="50" borderId="38" xfId="203" applyFont="1" applyFill="1" applyBorder="1" applyAlignment="1">
      <alignment horizontal="center" vertical="center" wrapText="1"/>
    </xf>
    <xf numFmtId="0" fontId="0" fillId="50" borderId="17" xfId="0" applyFill="1" applyBorder="1"/>
    <xf numFmtId="0" fontId="75" fillId="56" borderId="0" xfId="0" applyFont="1" applyFill="1" applyAlignment="1">
      <alignment horizontal="center" vertical="center" wrapText="1"/>
    </xf>
    <xf numFmtId="4" fontId="5" fillId="0" borderId="122" xfId="0" applyNumberFormat="1" applyFont="1" applyBorder="1" applyAlignment="1">
      <alignment horizontal="center" vertical="center"/>
    </xf>
    <xf numFmtId="4" fontId="5" fillId="0" borderId="121" xfId="0" applyNumberFormat="1" applyFont="1" applyBorder="1" applyAlignment="1">
      <alignment horizontal="center" vertical="center"/>
    </xf>
    <xf numFmtId="4" fontId="5" fillId="0" borderId="123" xfId="0" applyNumberFormat="1" applyFont="1" applyBorder="1" applyAlignment="1">
      <alignment horizontal="center" vertical="center"/>
    </xf>
    <xf numFmtId="14" fontId="6" fillId="0" borderId="124" xfId="0" applyNumberFormat="1" applyFont="1" applyBorder="1" applyAlignment="1">
      <alignment horizontal="left" vertical="center"/>
    </xf>
    <xf numFmtId="4" fontId="61" fillId="46" borderId="0" xfId="0" applyNumberFormat="1" applyFont="1" applyFill="1" applyAlignment="1">
      <alignment vertical="center"/>
    </xf>
    <xf numFmtId="4" fontId="38" fillId="46" borderId="0" xfId="0" applyNumberFormat="1" applyFont="1" applyFill="1" applyAlignment="1">
      <alignment vertical="center"/>
    </xf>
    <xf numFmtId="4" fontId="38" fillId="46" borderId="125" xfId="0" applyNumberFormat="1" applyFont="1" applyFill="1" applyBorder="1" applyAlignment="1">
      <alignment vertical="center"/>
    </xf>
    <xf numFmtId="4" fontId="76" fillId="0" borderId="124" xfId="0" applyNumberFormat="1" applyFont="1" applyBorder="1" applyAlignment="1">
      <alignment vertical="center" wrapText="1"/>
    </xf>
    <xf numFmtId="0" fontId="76" fillId="46" borderId="124" xfId="0" applyFont="1" applyFill="1" applyBorder="1" applyAlignment="1">
      <alignment vertical="center" wrapText="1"/>
    </xf>
    <xf numFmtId="0" fontId="76" fillId="50" borderId="0" xfId="0" applyFont="1" applyFill="1" applyAlignment="1">
      <alignment horizontal="left" vertical="center" wrapText="1"/>
    </xf>
    <xf numFmtId="4" fontId="5" fillId="0" borderId="124" xfId="0" applyNumberFormat="1" applyFont="1" applyBorder="1" applyAlignment="1">
      <alignment horizontal="center" vertical="center"/>
    </xf>
    <xf numFmtId="4" fontId="5" fillId="50" borderId="0" xfId="0" applyNumberFormat="1" applyFont="1" applyFill="1" applyAlignment="1">
      <alignment horizontal="left" vertical="center" wrapText="1"/>
    </xf>
    <xf numFmtId="0" fontId="0" fillId="50" borderId="125" xfId="0" applyFill="1" applyBorder="1"/>
    <xf numFmtId="0" fontId="76" fillId="46" borderId="0" xfId="0" applyFont="1" applyFill="1" applyAlignment="1">
      <alignment horizontal="left" vertical="center" wrapText="1"/>
    </xf>
    <xf numFmtId="0" fontId="76" fillId="46" borderId="125" xfId="0" applyFont="1" applyFill="1" applyBorder="1" applyAlignment="1">
      <alignment horizontal="left" vertical="center" wrapText="1"/>
    </xf>
    <xf numFmtId="0" fontId="76" fillId="55" borderId="124" xfId="0" applyFont="1" applyFill="1" applyBorder="1" applyAlignment="1">
      <alignment vertical="center" wrapText="1"/>
    </xf>
    <xf numFmtId="0" fontId="76" fillId="55" borderId="125" xfId="0" applyFont="1" applyFill="1" applyBorder="1" applyAlignment="1">
      <alignment horizontal="left" vertical="center" wrapText="1"/>
    </xf>
    <xf numFmtId="0" fontId="81" fillId="56" borderId="145" xfId="0" applyFont="1" applyFill="1" applyBorder="1" applyAlignment="1">
      <alignment horizontal="center" vertical="center" wrapText="1"/>
    </xf>
    <xf numFmtId="0" fontId="81" fillId="56" borderId="146" xfId="0" applyFont="1" applyFill="1" applyBorder="1" applyAlignment="1">
      <alignment horizontal="center" vertical="center" wrapText="1"/>
    </xf>
    <xf numFmtId="9" fontId="81" fillId="56" borderId="146" xfId="738" applyFont="1" applyFill="1" applyBorder="1" applyAlignment="1">
      <alignment horizontal="center" vertical="center" wrapText="1"/>
    </xf>
    <xf numFmtId="44" fontId="81" fillId="56" borderId="147" xfId="195" applyFont="1" applyFill="1" applyBorder="1" applyAlignment="1">
      <alignment horizontal="center" vertical="center" wrapText="1"/>
    </xf>
    <xf numFmtId="4" fontId="6" fillId="51" borderId="69" xfId="0" applyNumberFormat="1" applyFont="1" applyFill="1" applyBorder="1" applyAlignment="1">
      <alignment horizontal="center" vertical="center"/>
    </xf>
    <xf numFmtId="4" fontId="28" fillId="0" borderId="122" xfId="0" applyNumberFormat="1" applyFont="1" applyBorder="1" applyAlignment="1">
      <alignment horizontal="center" vertical="center"/>
    </xf>
    <xf numFmtId="0" fontId="0" fillId="0" borderId="121" xfId="0" applyBorder="1"/>
    <xf numFmtId="4" fontId="28" fillId="0" borderId="121" xfId="0" applyNumberFormat="1" applyFont="1" applyBorder="1" applyAlignment="1">
      <alignment horizontal="center" vertical="center"/>
    </xf>
    <xf numFmtId="10" fontId="77" fillId="50" borderId="63" xfId="945" applyNumberFormat="1" applyFont="1" applyFill="1" applyBorder="1" applyAlignment="1">
      <alignment horizontal="center" vertical="center"/>
    </xf>
    <xf numFmtId="4" fontId="28" fillId="0" borderId="123" xfId="0" applyNumberFormat="1" applyFont="1" applyBorder="1" applyAlignment="1">
      <alignment horizontal="center" vertical="center"/>
    </xf>
    <xf numFmtId="4" fontId="28" fillId="0" borderId="124" xfId="0" applyNumberFormat="1" applyFont="1" applyBorder="1" applyAlignment="1">
      <alignment horizontal="center" vertical="center"/>
    </xf>
    <xf numFmtId="49" fontId="77" fillId="51" borderId="57" xfId="945" applyNumberFormat="1" applyFont="1" applyFill="1" applyBorder="1" applyAlignment="1">
      <alignment horizontal="center" vertical="center"/>
    </xf>
    <xf numFmtId="0" fontId="73" fillId="46" borderId="0" xfId="0" applyFont="1" applyFill="1" applyAlignment="1">
      <alignment vertical="center"/>
    </xf>
    <xf numFmtId="0" fontId="74" fillId="46" borderId="0" xfId="0" applyFont="1" applyFill="1" applyAlignment="1">
      <alignment vertical="center"/>
    </xf>
    <xf numFmtId="49" fontId="77" fillId="50" borderId="57" xfId="945" applyNumberFormat="1" applyFont="1" applyFill="1" applyBorder="1" applyAlignment="1">
      <alignment horizontal="center" vertical="center"/>
    </xf>
    <xf numFmtId="4" fontId="76" fillId="46" borderId="0" xfId="0" applyNumberFormat="1" applyFont="1" applyFill="1" applyAlignment="1">
      <alignment horizontal="left" vertical="center"/>
    </xf>
    <xf numFmtId="0" fontId="76" fillId="46" borderId="124" xfId="0" applyFont="1" applyFill="1" applyBorder="1" applyAlignment="1">
      <alignment horizontal="left" vertical="center" wrapText="1"/>
    </xf>
    <xf numFmtId="4" fontId="27" fillId="50" borderId="125" xfId="0" applyNumberFormat="1" applyFont="1" applyFill="1" applyBorder="1" applyAlignment="1">
      <alignment horizontal="center" vertical="center"/>
    </xf>
    <xf numFmtId="44" fontId="82" fillId="50" borderId="107" xfId="203" applyFont="1" applyFill="1" applyBorder="1" applyAlignment="1">
      <alignment horizontal="center" vertical="center"/>
    </xf>
    <xf numFmtId="44" fontId="75" fillId="54" borderId="49" xfId="195" applyFont="1" applyFill="1" applyBorder="1" applyAlignment="1">
      <alignment horizontal="right" vertical="center"/>
    </xf>
    <xf numFmtId="0" fontId="61" fillId="46" borderId="0" xfId="0" applyFont="1" applyFill="1" applyAlignment="1">
      <alignment vertical="center" wrapText="1"/>
    </xf>
    <xf numFmtId="4" fontId="5" fillId="46" borderId="0" xfId="0" applyNumberFormat="1" applyFont="1" applyFill="1" applyAlignment="1">
      <alignment vertical="center"/>
    </xf>
    <xf numFmtId="0" fontId="38" fillId="46" borderId="0" xfId="0" applyFont="1" applyFill="1" applyAlignment="1">
      <alignment horizontal="center" vertical="center" wrapText="1"/>
    </xf>
    <xf numFmtId="0" fontId="5" fillId="46" borderId="0" xfId="0" applyFont="1" applyFill="1" applyAlignment="1">
      <alignment vertical="center" wrapText="1"/>
    </xf>
    <xf numFmtId="4" fontId="5" fillId="46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5" fillId="46" borderId="0" xfId="0" applyFont="1" applyFill="1" applyAlignment="1">
      <alignment horizontal="center" vertical="center" wrapText="1"/>
    </xf>
    <xf numFmtId="0" fontId="6" fillId="48" borderId="0" xfId="0" applyFont="1" applyFill="1" applyAlignment="1">
      <alignment horizontal="left" vertical="center"/>
    </xf>
    <xf numFmtId="49" fontId="6" fillId="48" borderId="0" xfId="0" applyNumberFormat="1" applyFont="1" applyFill="1" applyAlignment="1">
      <alignment horizontal="center" vertical="center"/>
    </xf>
    <xf numFmtId="4" fontId="6" fillId="48" borderId="0" xfId="0" applyNumberFormat="1" applyFont="1" applyFill="1" applyAlignment="1">
      <alignment horizontal="left" vertical="center"/>
    </xf>
    <xf numFmtId="0" fontId="61" fillId="46" borderId="121" xfId="0" applyFont="1" applyFill="1" applyBorder="1" applyAlignment="1">
      <alignment vertical="center"/>
    </xf>
    <xf numFmtId="0" fontId="6" fillId="46" borderId="121" xfId="0" applyFont="1" applyFill="1" applyBorder="1" applyAlignment="1">
      <alignment vertical="center"/>
    </xf>
    <xf numFmtId="4" fontId="5" fillId="0" borderId="121" xfId="0" applyNumberFormat="1" applyFont="1" applyBorder="1" applyAlignment="1">
      <alignment vertical="center"/>
    </xf>
    <xf numFmtId="4" fontId="5" fillId="0" borderId="123" xfId="0" applyNumberFormat="1" applyFont="1" applyBorder="1" applyAlignment="1">
      <alignment vertical="center"/>
    </xf>
    <xf numFmtId="4" fontId="6" fillId="46" borderId="124" xfId="0" applyNumberFormat="1" applyFont="1" applyFill="1" applyBorder="1" applyAlignment="1">
      <alignment vertical="center"/>
    </xf>
    <xf numFmtId="4" fontId="6" fillId="46" borderId="0" xfId="0" applyNumberFormat="1" applyFont="1" applyFill="1" applyAlignment="1">
      <alignment vertical="center"/>
    </xf>
    <xf numFmtId="4" fontId="5" fillId="0" borderId="125" xfId="0" applyNumberFormat="1" applyFont="1" applyBorder="1" applyAlignment="1">
      <alignment horizontal="center" vertical="center"/>
    </xf>
    <xf numFmtId="2" fontId="6" fillId="46" borderId="124" xfId="0" applyNumberFormat="1" applyFont="1" applyFill="1" applyBorder="1" applyAlignment="1">
      <alignment vertical="center"/>
    </xf>
    <xf numFmtId="2" fontId="6" fillId="46" borderId="0" xfId="0" applyNumberFormat="1" applyFont="1" applyFill="1" applyAlignment="1">
      <alignment vertical="center"/>
    </xf>
    <xf numFmtId="0" fontId="58" fillId="46" borderId="0" xfId="0" applyFont="1" applyFill="1" applyAlignment="1">
      <alignment vertical="center"/>
    </xf>
    <xf numFmtId="0" fontId="58" fillId="46" borderId="125" xfId="0" applyFont="1" applyFill="1" applyBorder="1" applyAlignment="1">
      <alignment vertical="center"/>
    </xf>
    <xf numFmtId="4" fontId="6" fillId="0" borderId="0" xfId="0" applyNumberFormat="1" applyFont="1" applyAlignment="1">
      <alignment horizontal="left" vertical="center"/>
    </xf>
    <xf numFmtId="0" fontId="6" fillId="46" borderId="0" xfId="0" applyFont="1" applyFill="1" applyAlignment="1">
      <alignment vertical="center"/>
    </xf>
    <xf numFmtId="0" fontId="6" fillId="46" borderId="125" xfId="0" applyFont="1" applyFill="1" applyBorder="1" applyAlignment="1">
      <alignment vertical="center"/>
    </xf>
    <xf numFmtId="2" fontId="60" fillId="46" borderId="0" xfId="0" applyNumberFormat="1" applyFont="1" applyFill="1" applyAlignment="1">
      <alignment vertical="center"/>
    </xf>
    <xf numFmtId="0" fontId="5" fillId="46" borderId="0" xfId="0" applyFont="1" applyFill="1" applyAlignment="1">
      <alignment horizontal="center" vertical="center"/>
    </xf>
    <xf numFmtId="0" fontId="5" fillId="46" borderId="125" xfId="0" applyFont="1" applyFill="1" applyBorder="1" applyAlignment="1">
      <alignment horizontal="center" vertical="center"/>
    </xf>
    <xf numFmtId="0" fontId="80" fillId="56" borderId="154" xfId="0" applyFont="1" applyFill="1" applyBorder="1" applyAlignment="1">
      <alignment horizontal="center" vertical="center" wrapText="1"/>
    </xf>
    <xf numFmtId="10" fontId="6" fillId="48" borderId="155" xfId="0" applyNumberFormat="1" applyFont="1" applyFill="1" applyBorder="1" applyAlignment="1">
      <alignment horizontal="right" vertical="center"/>
    </xf>
    <xf numFmtId="170" fontId="6" fillId="55" borderId="156" xfId="945" applyNumberFormat="1" applyFont="1" applyFill="1" applyBorder="1" applyAlignment="1">
      <alignment horizontal="right" vertical="center"/>
    </xf>
    <xf numFmtId="10" fontId="27" fillId="48" borderId="155" xfId="0" applyNumberFormat="1" applyFont="1" applyFill="1" applyBorder="1" applyAlignment="1">
      <alignment horizontal="right" vertical="center"/>
    </xf>
    <xf numFmtId="170" fontId="27" fillId="55" borderId="156" xfId="945" applyNumberFormat="1" applyFont="1" applyFill="1" applyBorder="1" applyAlignment="1">
      <alignment horizontal="right" vertical="center"/>
    </xf>
    <xf numFmtId="10" fontId="27" fillId="48" borderId="57" xfId="0" applyNumberFormat="1" applyFont="1" applyFill="1" applyBorder="1" applyAlignment="1">
      <alignment horizontal="right" vertical="center"/>
    </xf>
    <xf numFmtId="170" fontId="27" fillId="48" borderId="57" xfId="945" applyNumberFormat="1" applyFont="1" applyFill="1" applyBorder="1" applyAlignment="1">
      <alignment horizontal="right" vertical="center"/>
    </xf>
    <xf numFmtId="170" fontId="27" fillId="48" borderId="66" xfId="945" applyNumberFormat="1" applyFont="1" applyFill="1" applyBorder="1" applyAlignment="1">
      <alignment horizontal="right" vertical="center"/>
    </xf>
    <xf numFmtId="0" fontId="5" fillId="0" borderId="122" xfId="292" applyBorder="1"/>
    <xf numFmtId="0" fontId="5" fillId="0" borderId="121" xfId="292" applyBorder="1"/>
    <xf numFmtId="0" fontId="5" fillId="0" borderId="123" xfId="292" applyBorder="1"/>
    <xf numFmtId="0" fontId="84" fillId="50" borderId="0" xfId="344" applyFont="1" applyFill="1" applyAlignment="1">
      <alignment vertical="center"/>
    </xf>
    <xf numFmtId="0" fontId="6" fillId="50" borderId="0" xfId="344" applyFont="1" applyFill="1" applyAlignment="1">
      <alignment vertical="center"/>
    </xf>
    <xf numFmtId="0" fontId="5" fillId="50" borderId="124" xfId="344" applyFill="1" applyBorder="1" applyAlignment="1">
      <alignment vertical="center"/>
    </xf>
    <xf numFmtId="0" fontId="6" fillId="50" borderId="0" xfId="344" applyFont="1" applyFill="1" applyAlignment="1">
      <alignment horizontal="justify" vertical="center"/>
    </xf>
    <xf numFmtId="0" fontId="5" fillId="50" borderId="0" xfId="344" applyFill="1" applyAlignment="1">
      <alignment vertical="center"/>
    </xf>
    <xf numFmtId="0" fontId="5" fillId="50" borderId="125" xfId="344" applyFill="1" applyBorder="1" applyAlignment="1">
      <alignment vertical="center"/>
    </xf>
    <xf numFmtId="0" fontId="6" fillId="50" borderId="0" xfId="344" applyFont="1" applyFill="1" applyAlignment="1">
      <alignment horizontal="right" vertical="center" wrapText="1"/>
    </xf>
    <xf numFmtId="4" fontId="6" fillId="50" borderId="0" xfId="344" applyNumberFormat="1" applyFont="1" applyFill="1" applyAlignment="1">
      <alignment horizontal="right" vertical="center" wrapText="1"/>
    </xf>
    <xf numFmtId="0" fontId="6" fillId="50" borderId="0" xfId="344" applyFont="1" applyFill="1" applyAlignment="1">
      <alignment horizontal="justify" vertical="center" wrapText="1"/>
    </xf>
    <xf numFmtId="2" fontId="6" fillId="50" borderId="0" xfId="344" applyNumberFormat="1" applyFont="1" applyFill="1" applyAlignment="1">
      <alignment horizontal="right" vertical="center" wrapText="1"/>
    </xf>
    <xf numFmtId="0" fontId="5" fillId="50" borderId="0" xfId="344" applyFill="1" applyAlignment="1">
      <alignment horizontal="center" vertical="center"/>
    </xf>
    <xf numFmtId="0" fontId="5" fillId="0" borderId="0" xfId="292"/>
    <xf numFmtId="0" fontId="34" fillId="50" borderId="0" xfId="344" applyFont="1" applyFill="1" applyAlignment="1">
      <alignment horizontal="left" vertical="center"/>
    </xf>
    <xf numFmtId="2" fontId="5" fillId="50" borderId="0" xfId="344" applyNumberFormat="1" applyFill="1" applyAlignment="1">
      <alignment vertical="center"/>
    </xf>
    <xf numFmtId="0" fontId="5" fillId="50" borderId="0" xfId="344" applyFill="1" applyAlignment="1">
      <alignment horizontal="left" vertical="center"/>
    </xf>
    <xf numFmtId="0" fontId="5" fillId="50" borderId="157" xfId="344" applyFill="1" applyBorder="1" applyAlignment="1">
      <alignment vertical="center"/>
    </xf>
    <xf numFmtId="0" fontId="5" fillId="50" borderId="8" xfId="344" applyFill="1" applyBorder="1" applyAlignment="1">
      <alignment vertical="center"/>
    </xf>
    <xf numFmtId="0" fontId="5" fillId="50" borderId="158" xfId="344" applyFill="1" applyBorder="1" applyAlignment="1">
      <alignment vertical="center"/>
    </xf>
    <xf numFmtId="0" fontId="5" fillId="48" borderId="45" xfId="0" applyFont="1" applyFill="1" applyBorder="1" applyAlignment="1">
      <alignment horizontal="left" vertical="center"/>
    </xf>
    <xf numFmtId="49" fontId="76" fillId="50" borderId="24" xfId="0" applyNumberFormat="1" applyFont="1" applyFill="1" applyBorder="1" applyAlignment="1">
      <alignment horizontal="center" vertical="center" wrapText="1"/>
    </xf>
    <xf numFmtId="49" fontId="0" fillId="0" borderId="24" xfId="0" applyNumberFormat="1" applyBorder="1" applyAlignment="1">
      <alignment horizontal="left" vertical="center" wrapText="1"/>
    </xf>
    <xf numFmtId="44" fontId="0" fillId="0" borderId="24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5" fillId="48" borderId="46" xfId="0" applyFont="1" applyFill="1" applyBorder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4" fontId="76" fillId="46" borderId="0" xfId="0" applyNumberFormat="1" applyFont="1" applyFill="1" applyAlignment="1">
      <alignment horizontal="left" vertical="center" wrapText="1"/>
    </xf>
    <xf numFmtId="0" fontId="83" fillId="46" borderId="124" xfId="0" applyFont="1" applyFill="1" applyBorder="1" applyAlignment="1">
      <alignment vertical="top" wrapText="1"/>
    </xf>
    <xf numFmtId="0" fontId="76" fillId="46" borderId="0" xfId="0" applyFont="1" applyFill="1" applyAlignment="1">
      <alignment horizontal="left" wrapText="1"/>
    </xf>
    <xf numFmtId="0" fontId="75" fillId="56" borderId="124" xfId="0" applyFont="1" applyFill="1" applyBorder="1" applyAlignment="1">
      <alignment horizontal="center" vertical="center" wrapText="1"/>
    </xf>
    <xf numFmtId="0" fontId="75" fillId="56" borderId="125" xfId="0" applyFont="1" applyFill="1" applyBorder="1" applyAlignment="1">
      <alignment horizontal="center" vertical="center" wrapText="1"/>
    </xf>
    <xf numFmtId="49" fontId="0" fillId="0" borderId="60" xfId="0" applyNumberFormat="1" applyBorder="1" applyAlignment="1">
      <alignment horizontal="center" vertical="center"/>
    </xf>
    <xf numFmtId="10" fontId="5" fillId="50" borderId="57" xfId="738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49" fontId="0" fillId="0" borderId="61" xfId="0" applyNumberFormat="1" applyBorder="1" applyAlignment="1">
      <alignment horizontal="center" vertical="center"/>
    </xf>
    <xf numFmtId="10" fontId="5" fillId="50" borderId="58" xfId="738" applyNumberFormat="1" applyFont="1" applyFill="1" applyBorder="1" applyAlignment="1">
      <alignment horizontal="center" vertical="center"/>
    </xf>
    <xf numFmtId="44" fontId="76" fillId="50" borderId="51" xfId="195" applyFont="1" applyFill="1" applyBorder="1" applyAlignment="1">
      <alignment horizontal="center" vertical="center" wrapText="1"/>
    </xf>
    <xf numFmtId="198" fontId="5" fillId="50" borderId="49" xfId="738" applyNumberFormat="1" applyFont="1" applyFill="1" applyBorder="1" applyAlignment="1">
      <alignment horizontal="center" vertical="center"/>
    </xf>
    <xf numFmtId="0" fontId="75" fillId="56" borderId="164" xfId="0" applyFont="1" applyFill="1" applyBorder="1" applyAlignment="1">
      <alignment vertical="center" wrapText="1"/>
    </xf>
    <xf numFmtId="0" fontId="5" fillId="57" borderId="60" xfId="344" applyFill="1" applyBorder="1" applyAlignment="1">
      <alignment horizontal="center" vertical="center" wrapText="1"/>
    </xf>
    <xf numFmtId="44" fontId="5" fillId="57" borderId="57" xfId="195" applyFont="1" applyFill="1" applyBorder="1" applyAlignment="1">
      <alignment horizontal="center" vertical="center"/>
    </xf>
    <xf numFmtId="44" fontId="82" fillId="48" borderId="41" xfId="195" applyFont="1" applyFill="1" applyBorder="1" applyAlignment="1">
      <alignment horizontal="center" vertical="center"/>
    </xf>
    <xf numFmtId="0" fontId="75" fillId="56" borderId="165" xfId="0" applyFont="1" applyFill="1" applyBorder="1" applyAlignment="1">
      <alignment horizontal="center" vertical="center" wrapText="1"/>
    </xf>
    <xf numFmtId="0" fontId="75" fillId="56" borderId="166" xfId="0" applyFont="1" applyFill="1" applyBorder="1" applyAlignment="1">
      <alignment horizontal="center" vertical="center" wrapText="1"/>
    </xf>
    <xf numFmtId="0" fontId="82" fillId="50" borderId="60" xfId="597" applyFont="1" applyFill="1" applyBorder="1" applyAlignment="1">
      <alignment horizontal="center" vertical="center"/>
    </xf>
    <xf numFmtId="44" fontId="82" fillId="50" borderId="57" xfId="195" applyFont="1" applyFill="1" applyBorder="1" applyAlignment="1">
      <alignment horizontal="center" vertical="center" wrapText="1"/>
    </xf>
    <xf numFmtId="0" fontId="82" fillId="57" borderId="167" xfId="597" applyFont="1" applyFill="1" applyBorder="1" applyAlignment="1">
      <alignment horizontal="center" vertical="center"/>
    </xf>
    <xf numFmtId="44" fontId="82" fillId="57" borderId="168" xfId="195" applyFont="1" applyFill="1" applyBorder="1" applyAlignment="1">
      <alignment horizontal="center" vertical="center" wrapText="1"/>
    </xf>
    <xf numFmtId="44" fontId="79" fillId="49" borderId="137" xfId="195" applyFont="1" applyFill="1" applyBorder="1" applyAlignment="1">
      <alignment horizontal="center" vertical="center"/>
    </xf>
    <xf numFmtId="0" fontId="82" fillId="50" borderId="167" xfId="597" applyFont="1" applyFill="1" applyBorder="1" applyAlignment="1">
      <alignment horizontal="center" vertical="center"/>
    </xf>
    <xf numFmtId="44" fontId="82" fillId="50" borderId="169" xfId="195" applyFont="1" applyFill="1" applyBorder="1" applyAlignment="1">
      <alignment horizontal="center" vertical="center" wrapText="1"/>
    </xf>
    <xf numFmtId="0" fontId="75" fillId="56" borderId="170" xfId="0" applyFont="1" applyFill="1" applyBorder="1" applyAlignment="1">
      <alignment horizontal="center" vertical="center" wrapText="1"/>
    </xf>
    <xf numFmtId="0" fontId="5" fillId="50" borderId="171" xfId="344" applyFill="1" applyBorder="1" applyAlignment="1">
      <alignment horizontal="center" vertical="center"/>
    </xf>
    <xf numFmtId="44" fontId="82" fillId="50" borderId="155" xfId="195" applyFont="1" applyFill="1" applyBorder="1" applyAlignment="1">
      <alignment horizontal="center" vertical="center"/>
    </xf>
    <xf numFmtId="0" fontId="75" fillId="56" borderId="57" xfId="292" applyFont="1" applyFill="1" applyBorder="1" applyAlignment="1">
      <alignment vertical="center" wrapText="1"/>
    </xf>
    <xf numFmtId="0" fontId="5" fillId="50" borderId="61" xfId="344" applyFill="1" applyBorder="1" applyAlignment="1">
      <alignment horizontal="center" vertical="center" wrapText="1"/>
    </xf>
    <xf numFmtId="44" fontId="5" fillId="50" borderId="58" xfId="203" applyFont="1" applyFill="1" applyBorder="1" applyAlignment="1">
      <alignment horizontal="center" vertical="center"/>
    </xf>
    <xf numFmtId="44" fontId="5" fillId="57" borderId="57" xfId="203" applyFont="1" applyFill="1" applyBorder="1" applyAlignment="1">
      <alignment horizontal="center" vertical="center"/>
    </xf>
    <xf numFmtId="44" fontId="82" fillId="48" borderId="41" xfId="203" applyFont="1" applyFill="1" applyBorder="1" applyAlignment="1">
      <alignment horizontal="center" vertical="center"/>
    </xf>
    <xf numFmtId="0" fontId="75" fillId="56" borderId="165" xfId="292" applyFont="1" applyFill="1" applyBorder="1" applyAlignment="1">
      <alignment horizontal="center" vertical="center" wrapText="1"/>
    </xf>
    <xf numFmtId="0" fontId="75" fillId="56" borderId="166" xfId="292" applyFont="1" applyFill="1" applyBorder="1" applyAlignment="1">
      <alignment horizontal="center" vertical="center" wrapText="1"/>
    </xf>
    <xf numFmtId="0" fontId="82" fillId="50" borderId="60" xfId="993" applyFont="1" applyFill="1" applyBorder="1" applyAlignment="1">
      <alignment horizontal="center" vertical="center"/>
    </xf>
    <xf numFmtId="44" fontId="82" fillId="50" borderId="57" xfId="203" applyFont="1" applyFill="1" applyBorder="1" applyAlignment="1">
      <alignment horizontal="center" vertical="center" wrapText="1"/>
    </xf>
    <xf numFmtId="0" fontId="82" fillId="57" borderId="60" xfId="993" applyFont="1" applyFill="1" applyBorder="1" applyAlignment="1">
      <alignment horizontal="center" vertical="center"/>
    </xf>
    <xf numFmtId="44" fontId="82" fillId="57" borderId="57" xfId="203" applyFont="1" applyFill="1" applyBorder="1" applyAlignment="1">
      <alignment horizontal="center" vertical="center" wrapText="1"/>
    </xf>
    <xf numFmtId="44" fontId="79" fillId="49" borderId="137" xfId="203" applyFont="1" applyFill="1" applyBorder="1" applyAlignment="1">
      <alignment horizontal="center" vertical="center"/>
    </xf>
    <xf numFmtId="0" fontId="75" fillId="56" borderId="173" xfId="292" applyFont="1" applyFill="1" applyBorder="1" applyAlignment="1">
      <alignment horizontal="center" vertical="center" wrapText="1"/>
    </xf>
    <xf numFmtId="0" fontId="75" fillId="56" borderId="170" xfId="292" applyFont="1" applyFill="1" applyBorder="1" applyAlignment="1">
      <alignment horizontal="center" vertical="center" wrapText="1"/>
    </xf>
    <xf numFmtId="44" fontId="82" fillId="48" borderId="57" xfId="203" applyFont="1" applyFill="1" applyBorder="1" applyAlignment="1">
      <alignment horizontal="center" vertical="center"/>
    </xf>
    <xf numFmtId="44" fontId="82" fillId="50" borderId="155" xfId="203" applyFont="1" applyFill="1" applyBorder="1" applyAlignment="1">
      <alignment horizontal="center" vertical="center"/>
    </xf>
    <xf numFmtId="44" fontId="75" fillId="56" borderId="172" xfId="203" applyFont="1" applyFill="1" applyBorder="1" applyAlignment="1">
      <alignment vertical="center" wrapText="1"/>
    </xf>
    <xf numFmtId="0" fontId="75" fillId="56" borderId="165" xfId="343" applyFont="1" applyFill="1" applyBorder="1" applyAlignment="1">
      <alignment horizontal="center" vertical="center" wrapText="1"/>
    </xf>
    <xf numFmtId="0" fontId="75" fillId="56" borderId="166" xfId="343" applyFont="1" applyFill="1" applyBorder="1" applyAlignment="1">
      <alignment horizontal="center" vertical="center" wrapText="1"/>
    </xf>
    <xf numFmtId="0" fontId="75" fillId="56" borderId="164" xfId="343" applyFont="1" applyFill="1" applyBorder="1" applyAlignment="1">
      <alignment vertical="center" wrapText="1"/>
    </xf>
    <xf numFmtId="168" fontId="82" fillId="48" borderId="41" xfId="232" applyFont="1" applyFill="1" applyBorder="1" applyAlignment="1">
      <alignment horizontal="center" vertical="center"/>
    </xf>
    <xf numFmtId="0" fontId="82" fillId="50" borderId="60" xfId="995" applyFont="1" applyFill="1" applyBorder="1" applyAlignment="1">
      <alignment horizontal="center" vertical="center"/>
    </xf>
    <xf numFmtId="168" fontId="82" fillId="50" borderId="57" xfId="232" applyFont="1" applyFill="1" applyBorder="1" applyAlignment="1">
      <alignment horizontal="center" vertical="center" wrapText="1"/>
    </xf>
    <xf numFmtId="0" fontId="82" fillId="50" borderId="60" xfId="996" applyFont="1" applyFill="1" applyBorder="1" applyAlignment="1">
      <alignment horizontal="center" vertical="center"/>
    </xf>
    <xf numFmtId="168" fontId="79" fillId="49" borderId="137" xfId="232" applyFont="1" applyFill="1" applyBorder="1" applyAlignment="1">
      <alignment horizontal="center" vertical="center"/>
    </xf>
    <xf numFmtId="0" fontId="75" fillId="56" borderId="173" xfId="343" applyFont="1" applyFill="1" applyBorder="1" applyAlignment="1">
      <alignment horizontal="center" vertical="center" wrapText="1"/>
    </xf>
    <xf numFmtId="0" fontId="75" fillId="56" borderId="170" xfId="343" applyFont="1" applyFill="1" applyBorder="1" applyAlignment="1">
      <alignment horizontal="center" vertical="center" wrapText="1"/>
    </xf>
    <xf numFmtId="0" fontId="5" fillId="50" borderId="60" xfId="343" applyFill="1" applyBorder="1" applyAlignment="1">
      <alignment horizontal="center" vertical="center"/>
    </xf>
    <xf numFmtId="168" fontId="5" fillId="50" borderId="57" xfId="232" applyFont="1" applyFill="1" applyBorder="1" applyAlignment="1">
      <alignment horizontal="center" vertical="center"/>
    </xf>
    <xf numFmtId="0" fontId="5" fillId="50" borderId="60" xfId="0" applyFont="1" applyFill="1" applyBorder="1" applyAlignment="1">
      <alignment horizontal="center" vertical="center"/>
    </xf>
    <xf numFmtId="0" fontId="5" fillId="50" borderId="60" xfId="344" applyFill="1" applyBorder="1" applyAlignment="1">
      <alignment horizontal="center" vertical="center"/>
    </xf>
    <xf numFmtId="168" fontId="82" fillId="50" borderId="57" xfId="232" applyFont="1" applyFill="1" applyBorder="1" applyAlignment="1">
      <alignment horizontal="center" vertical="center"/>
    </xf>
    <xf numFmtId="0" fontId="82" fillId="50" borderId="57" xfId="996" applyFont="1" applyFill="1" applyBorder="1" applyAlignment="1">
      <alignment horizontal="center" vertical="center"/>
    </xf>
    <xf numFmtId="0" fontId="75" fillId="56" borderId="173" xfId="0" applyFont="1" applyFill="1" applyBorder="1" applyAlignment="1">
      <alignment horizontal="center" vertical="center" wrapText="1"/>
    </xf>
    <xf numFmtId="2" fontId="82" fillId="50" borderId="57" xfId="996" applyNumberFormat="1" applyFont="1" applyFill="1" applyBorder="1" applyAlignment="1">
      <alignment horizontal="center" vertical="center" wrapText="1"/>
    </xf>
    <xf numFmtId="0" fontId="82" fillId="57" borderId="60" xfId="996" applyFont="1" applyFill="1" applyBorder="1" applyAlignment="1">
      <alignment horizontal="center" vertical="center"/>
    </xf>
    <xf numFmtId="0" fontId="5" fillId="50" borderId="60" xfId="0" applyFont="1" applyFill="1" applyBorder="1" applyAlignment="1">
      <alignment horizontal="center" vertical="center" wrapText="1"/>
    </xf>
    <xf numFmtId="44" fontId="5" fillId="50" borderId="57" xfId="203" applyFont="1" applyFill="1" applyBorder="1" applyAlignment="1">
      <alignment horizontal="center" vertical="center" wrapText="1"/>
    </xf>
    <xf numFmtId="0" fontId="5" fillId="50" borderId="60" xfId="344" applyFill="1" applyBorder="1" applyAlignment="1">
      <alignment horizontal="center" vertical="center" wrapText="1"/>
    </xf>
    <xf numFmtId="0" fontId="8" fillId="50" borderId="60" xfId="344" applyFont="1" applyFill="1" applyBorder="1" applyAlignment="1">
      <alignment horizontal="center" vertical="center"/>
    </xf>
    <xf numFmtId="2" fontId="91" fillId="50" borderId="57" xfId="996" applyNumberFormat="1" applyFont="1" applyFill="1" applyBorder="1" applyAlignment="1">
      <alignment horizontal="center" vertical="center"/>
    </xf>
    <xf numFmtId="0" fontId="75" fillId="56" borderId="87" xfId="0" applyFont="1" applyFill="1" applyBorder="1" applyAlignment="1">
      <alignment horizontal="center" vertical="center" wrapText="1"/>
    </xf>
    <xf numFmtId="0" fontId="75" fillId="56" borderId="150" xfId="0" applyFont="1" applyFill="1" applyBorder="1" applyAlignment="1">
      <alignment horizontal="center" vertical="center" wrapText="1"/>
    </xf>
    <xf numFmtId="0" fontId="75" fillId="56" borderId="162" xfId="0" applyFont="1" applyFill="1" applyBorder="1" applyAlignment="1">
      <alignment horizontal="center" vertical="center" wrapText="1"/>
    </xf>
    <xf numFmtId="4" fontId="5" fillId="50" borderId="16" xfId="0" applyNumberFormat="1" applyFont="1" applyFill="1" applyBorder="1" applyAlignment="1">
      <alignment horizontal="center" vertical="center" wrapText="1"/>
    </xf>
    <xf numFmtId="3" fontId="5" fillId="50" borderId="16" xfId="0" applyNumberFormat="1" applyFont="1" applyFill="1" applyBorder="1" applyAlignment="1">
      <alignment horizontal="center" vertical="center" wrapText="1"/>
    </xf>
    <xf numFmtId="44" fontId="5" fillId="50" borderId="16" xfId="195" applyFont="1" applyFill="1" applyBorder="1" applyAlignment="1">
      <alignment horizontal="center" vertical="center" wrapText="1"/>
    </xf>
    <xf numFmtId="0" fontId="93" fillId="0" borderId="174" xfId="0" applyFont="1" applyBorder="1" applyAlignment="1">
      <alignment horizontal="left" vertical="center"/>
    </xf>
    <xf numFmtId="0" fontId="69" fillId="0" borderId="174" xfId="0" applyFont="1" applyBorder="1" applyAlignment="1">
      <alignment horizontal="center" vertical="center"/>
    </xf>
    <xf numFmtId="0" fontId="93" fillId="0" borderId="174" xfId="0" applyFont="1" applyBorder="1" applyAlignment="1">
      <alignment horizontal="right" vertical="center"/>
    </xf>
    <xf numFmtId="0" fontId="94" fillId="0" borderId="0" xfId="0" applyFont="1" applyAlignment="1">
      <alignment horizontal="left" vertical="center"/>
    </xf>
    <xf numFmtId="0" fontId="95" fillId="0" borderId="0" xfId="0" applyFont="1" applyAlignment="1">
      <alignment horizontal="left" vertical="center"/>
    </xf>
    <xf numFmtId="0" fontId="95" fillId="0" borderId="0" xfId="0" applyFont="1" applyAlignment="1">
      <alignment horizontal="right" vertical="center"/>
    </xf>
    <xf numFmtId="196" fontId="95" fillId="0" borderId="0" xfId="0" applyNumberFormat="1" applyFont="1" applyAlignment="1">
      <alignment horizontal="right" vertical="center"/>
    </xf>
    <xf numFmtId="0" fontId="95" fillId="0" borderId="8" xfId="0" applyFont="1" applyBorder="1" applyAlignment="1">
      <alignment horizontal="left" vertical="center"/>
    </xf>
    <xf numFmtId="0" fontId="97" fillId="0" borderId="8" xfId="0" applyFont="1" applyBorder="1" applyAlignment="1">
      <alignment horizontal="left" vertical="center"/>
    </xf>
    <xf numFmtId="0" fontId="97" fillId="0" borderId="8" xfId="0" applyFont="1" applyBorder="1" applyAlignment="1">
      <alignment horizontal="center" vertical="center"/>
    </xf>
    <xf numFmtId="0" fontId="97" fillId="0" borderId="0" xfId="0" applyFont="1" applyAlignment="1">
      <alignment horizontal="center" vertical="center"/>
    </xf>
    <xf numFmtId="0" fontId="69" fillId="0" borderId="8" xfId="0" applyFont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0" xfId="0" applyFont="1" applyAlignment="1">
      <alignment horizontal="left" vertical="center" wrapText="1"/>
    </xf>
    <xf numFmtId="196" fontId="69" fillId="0" borderId="0" xfId="0" applyNumberFormat="1" applyFont="1" applyAlignment="1">
      <alignment horizontal="center" vertical="center"/>
    </xf>
    <xf numFmtId="4" fontId="69" fillId="0" borderId="0" xfId="0" applyNumberFormat="1" applyFont="1" applyAlignment="1">
      <alignment horizontal="center" vertical="center"/>
    </xf>
    <xf numFmtId="203" fontId="69" fillId="0" borderId="0" xfId="0" applyNumberFormat="1" applyFont="1" applyAlignment="1">
      <alignment horizontal="right" vertical="center"/>
    </xf>
    <xf numFmtId="0" fontId="97" fillId="0" borderId="8" xfId="0" applyFont="1" applyBorder="1" applyAlignment="1">
      <alignment horizontal="right" vertical="center"/>
    </xf>
    <xf numFmtId="203" fontId="69" fillId="0" borderId="8" xfId="0" applyNumberFormat="1" applyFont="1" applyBorder="1" applyAlignment="1">
      <alignment horizontal="right" vertical="center"/>
    </xf>
    <xf numFmtId="0" fontId="97" fillId="0" borderId="0" xfId="0" applyFont="1" applyAlignment="1">
      <alignment horizontal="right" vertical="center"/>
    </xf>
    <xf numFmtId="203" fontId="97" fillId="0" borderId="8" xfId="0" applyNumberFormat="1" applyFont="1" applyBorder="1" applyAlignment="1">
      <alignment horizontal="right" vertical="center"/>
    </xf>
    <xf numFmtId="203" fontId="97" fillId="0" borderId="0" xfId="0" applyNumberFormat="1" applyFont="1" applyAlignment="1">
      <alignment horizontal="right" vertical="center"/>
    </xf>
    <xf numFmtId="196" fontId="97" fillId="0" borderId="0" xfId="0" applyNumberFormat="1" applyFont="1" applyAlignment="1">
      <alignment horizontal="right" vertical="center"/>
    </xf>
    <xf numFmtId="4" fontId="97" fillId="0" borderId="174" xfId="0" applyNumberFormat="1" applyFont="1" applyBorder="1" applyAlignment="1">
      <alignment horizontal="right" vertical="center"/>
    </xf>
    <xf numFmtId="4" fontId="95" fillId="0" borderId="0" xfId="0" applyNumberFormat="1" applyFont="1" applyAlignment="1">
      <alignment horizontal="right" vertical="center"/>
    </xf>
    <xf numFmtId="0" fontId="95" fillId="0" borderId="8" xfId="0" quotePrefix="1" applyFont="1" applyBorder="1" applyAlignment="1">
      <alignment horizontal="left" vertical="center"/>
    </xf>
    <xf numFmtId="4" fontId="97" fillId="0" borderId="0" xfId="0" applyNumberFormat="1" applyFont="1" applyAlignment="1">
      <alignment horizontal="right" vertical="center"/>
    </xf>
    <xf numFmtId="0" fontId="69" fillId="0" borderId="63" xfId="0" applyFont="1" applyBorder="1" applyAlignment="1">
      <alignment horizontal="center" vertical="center"/>
    </xf>
    <xf numFmtId="0" fontId="69" fillId="0" borderId="16" xfId="0" applyFont="1" applyBorder="1" applyAlignment="1">
      <alignment horizontal="center" vertical="center"/>
    </xf>
    <xf numFmtId="0" fontId="69" fillId="0" borderId="24" xfId="0" applyFont="1" applyBorder="1" applyAlignment="1">
      <alignment horizontal="center" vertical="center"/>
    </xf>
    <xf numFmtId="203" fontId="0" fillId="0" borderId="0" xfId="0" applyNumberFormat="1"/>
    <xf numFmtId="14" fontId="77" fillId="50" borderId="16" xfId="945" applyNumberFormat="1" applyFont="1" applyFill="1" applyBorder="1" applyAlignment="1">
      <alignment horizontal="center" vertical="center"/>
    </xf>
    <xf numFmtId="0" fontId="76" fillId="46" borderId="0" xfId="0" applyFont="1" applyFill="1" applyAlignment="1">
      <alignment horizontal="left" vertical="center"/>
    </xf>
    <xf numFmtId="0" fontId="75" fillId="56" borderId="176" xfId="0" applyFont="1" applyFill="1" applyBorder="1" applyAlignment="1">
      <alignment horizontal="center" vertical="center" wrapText="1"/>
    </xf>
    <xf numFmtId="0" fontId="75" fillId="56" borderId="53" xfId="0" applyFont="1" applyFill="1" applyBorder="1" applyAlignment="1">
      <alignment horizontal="center" vertical="center" wrapText="1"/>
    </xf>
    <xf numFmtId="3" fontId="5" fillId="50" borderId="120" xfId="0" applyNumberFormat="1" applyFont="1" applyFill="1" applyBorder="1" applyAlignment="1">
      <alignment horizontal="center" vertical="center" wrapText="1"/>
    </xf>
    <xf numFmtId="3" fontId="5" fillId="50" borderId="60" xfId="0" applyNumberFormat="1" applyFont="1" applyFill="1" applyBorder="1" applyAlignment="1">
      <alignment horizontal="center" vertical="center" wrapText="1"/>
    </xf>
    <xf numFmtId="0" fontId="75" fillId="56" borderId="177" xfId="0" applyFont="1" applyFill="1" applyBorder="1" applyAlignment="1">
      <alignment horizontal="center" vertical="center" wrapText="1"/>
    </xf>
    <xf numFmtId="10" fontId="5" fillId="50" borderId="16" xfId="0" applyNumberFormat="1" applyFont="1" applyFill="1" applyBorder="1" applyAlignment="1">
      <alignment horizontal="center" vertical="center" wrapText="1"/>
    </xf>
    <xf numFmtId="2" fontId="5" fillId="50" borderId="16" xfId="195" applyNumberFormat="1" applyFont="1" applyFill="1" applyBorder="1" applyAlignment="1">
      <alignment horizontal="center" vertical="center" wrapText="1"/>
    </xf>
    <xf numFmtId="2" fontId="69" fillId="0" borderId="24" xfId="0" applyNumberFormat="1" applyFont="1" applyBorder="1" applyAlignment="1">
      <alignment horizontal="center" vertical="center"/>
    </xf>
    <xf numFmtId="173" fontId="5" fillId="50" borderId="24" xfId="203" applyNumberFormat="1" applyFont="1" applyFill="1" applyBorder="1" applyAlignment="1">
      <alignment horizontal="center" vertical="center"/>
    </xf>
    <xf numFmtId="44" fontId="79" fillId="49" borderId="158" xfId="203" applyFont="1" applyFill="1" applyBorder="1" applyAlignment="1">
      <alignment horizontal="center" vertical="center"/>
    </xf>
    <xf numFmtId="4" fontId="5" fillId="50" borderId="16" xfId="0" quotePrefix="1" applyNumberFormat="1" applyFont="1" applyFill="1" applyBorder="1" applyAlignment="1">
      <alignment horizontal="center" vertical="center" wrapText="1"/>
    </xf>
    <xf numFmtId="204" fontId="5" fillId="50" borderId="16" xfId="195" applyNumberFormat="1" applyFont="1" applyFill="1" applyBorder="1" applyAlignment="1">
      <alignment horizontal="center" vertical="center" wrapText="1"/>
    </xf>
    <xf numFmtId="198" fontId="5" fillId="50" borderId="16" xfId="738" applyNumberFormat="1" applyFont="1" applyFill="1" applyBorder="1" applyAlignment="1">
      <alignment horizontal="center" vertical="center" wrapText="1"/>
    </xf>
    <xf numFmtId="4" fontId="82" fillId="50" borderId="60" xfId="993" applyNumberFormat="1" applyFont="1" applyFill="1" applyBorder="1" applyAlignment="1">
      <alignment horizontal="center" vertical="center"/>
    </xf>
    <xf numFmtId="4" fontId="82" fillId="50" borderId="16" xfId="993" applyNumberFormat="1" applyFont="1" applyFill="1" applyBorder="1" applyAlignment="1">
      <alignment horizontal="center" vertical="center"/>
    </xf>
    <xf numFmtId="10" fontId="67" fillId="50" borderId="0" xfId="0" applyNumberFormat="1" applyFont="1" applyFill="1" applyAlignment="1">
      <alignment vertical="center"/>
    </xf>
    <xf numFmtId="10" fontId="82" fillId="50" borderId="16" xfId="993" applyNumberFormat="1" applyFont="1" applyFill="1" applyBorder="1" applyAlignment="1">
      <alignment horizontal="center" vertical="center"/>
    </xf>
    <xf numFmtId="4" fontId="82" fillId="50" borderId="60" xfId="996" applyNumberFormat="1" applyFont="1" applyFill="1" applyBorder="1" applyAlignment="1">
      <alignment horizontal="center" vertical="center"/>
    </xf>
    <xf numFmtId="3" fontId="82" fillId="50" borderId="16" xfId="996" applyNumberFormat="1" applyFont="1" applyFill="1" applyBorder="1" applyAlignment="1">
      <alignment horizontal="center" vertical="center"/>
    </xf>
    <xf numFmtId="10" fontId="67" fillId="0" borderId="16" xfId="0" applyNumberFormat="1" applyFont="1" applyBorder="1" applyAlignment="1">
      <alignment vertical="center" wrapText="1"/>
    </xf>
    <xf numFmtId="10" fontId="82" fillId="50" borderId="16" xfId="996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right" vertical="center"/>
    </xf>
    <xf numFmtId="44" fontId="5" fillId="50" borderId="107" xfId="195" applyFont="1" applyFill="1" applyBorder="1" applyAlignment="1">
      <alignment horizontal="center" vertical="center" wrapText="1"/>
    </xf>
    <xf numFmtId="44" fontId="5" fillId="50" borderId="57" xfId="195" applyFont="1" applyFill="1" applyBorder="1" applyAlignment="1">
      <alignment horizontal="center" vertical="center" wrapText="1"/>
    </xf>
    <xf numFmtId="3" fontId="5" fillId="50" borderId="120" xfId="0" applyNumberFormat="1" applyFont="1" applyFill="1" applyBorder="1" applyAlignment="1">
      <alignment horizontal="center" vertical="center"/>
    </xf>
    <xf numFmtId="3" fontId="5" fillId="50" borderId="60" xfId="0" applyNumberFormat="1" applyFont="1" applyFill="1" applyBorder="1" applyAlignment="1">
      <alignment horizontal="center" vertical="center"/>
    </xf>
    <xf numFmtId="4" fontId="5" fillId="50" borderId="40" xfId="0" applyNumberFormat="1" applyFont="1" applyFill="1" applyBorder="1" applyAlignment="1">
      <alignment horizontal="left" vertical="center" wrapText="1"/>
    </xf>
    <xf numFmtId="4" fontId="5" fillId="50" borderId="16" xfId="0" applyNumberFormat="1" applyFont="1" applyFill="1" applyBorder="1" applyAlignment="1">
      <alignment horizontal="left" vertical="center" wrapText="1"/>
    </xf>
    <xf numFmtId="10" fontId="5" fillId="50" borderId="38" xfId="0" applyNumberFormat="1" applyFont="1" applyFill="1" applyBorder="1" applyAlignment="1">
      <alignment horizontal="center" vertical="center" wrapText="1"/>
    </xf>
    <xf numFmtId="10" fontId="5" fillId="50" borderId="40" xfId="0" applyNumberFormat="1" applyFont="1" applyFill="1" applyBorder="1" applyAlignment="1">
      <alignment horizontal="center" vertical="center" wrapText="1"/>
    </xf>
    <xf numFmtId="3" fontId="5" fillId="50" borderId="61" xfId="0" applyNumberFormat="1" applyFont="1" applyFill="1" applyBorder="1" applyAlignment="1">
      <alignment horizontal="center" vertical="center"/>
    </xf>
    <xf numFmtId="4" fontId="5" fillId="50" borderId="24" xfId="0" applyNumberFormat="1" applyFont="1" applyFill="1" applyBorder="1" applyAlignment="1">
      <alignment horizontal="left" vertical="center" wrapText="1"/>
    </xf>
    <xf numFmtId="44" fontId="5" fillId="50" borderId="58" xfId="195" applyFont="1" applyFill="1" applyBorder="1" applyAlignment="1">
      <alignment horizontal="center" vertical="center" wrapText="1"/>
    </xf>
    <xf numFmtId="4" fontId="76" fillId="0" borderId="0" xfId="0" applyNumberFormat="1" applyFont="1" applyAlignment="1">
      <alignment horizontal="left" vertical="top" wrapText="1"/>
    </xf>
    <xf numFmtId="4" fontId="76" fillId="0" borderId="125" xfId="0" applyNumberFormat="1" applyFont="1" applyBorder="1" applyAlignment="1">
      <alignment horizontal="left" vertical="top" wrapText="1"/>
    </xf>
    <xf numFmtId="14" fontId="77" fillId="55" borderId="0" xfId="0" applyNumberFormat="1" applyFont="1" applyFill="1" applyAlignment="1">
      <alignment horizontal="left" vertical="center" wrapText="1"/>
    </xf>
    <xf numFmtId="0" fontId="77" fillId="55" borderId="0" xfId="0" applyFont="1" applyFill="1" applyAlignment="1">
      <alignment horizontal="left" vertical="center" wrapText="1"/>
    </xf>
    <xf numFmtId="0" fontId="75" fillId="56" borderId="87" xfId="0" applyFont="1" applyFill="1" applyBorder="1" applyAlignment="1">
      <alignment horizontal="center" vertical="center" wrapText="1"/>
    </xf>
    <xf numFmtId="0" fontId="75" fillId="56" borderId="88" xfId="0" applyFont="1" applyFill="1" applyBorder="1" applyAlignment="1">
      <alignment horizontal="center" vertical="center" wrapText="1"/>
    </xf>
    <xf numFmtId="0" fontId="75" fillId="56" borderId="142" xfId="0" applyFont="1" applyFill="1" applyBorder="1" applyAlignment="1">
      <alignment horizontal="center" vertical="center" wrapText="1"/>
    </xf>
    <xf numFmtId="0" fontId="75" fillId="56" borderId="144" xfId="0" applyFont="1" applyFill="1" applyBorder="1" applyAlignment="1">
      <alignment horizontal="center" vertical="center" wrapText="1"/>
    </xf>
    <xf numFmtId="0" fontId="76" fillId="50" borderId="0" xfId="0" applyFont="1" applyFill="1" applyAlignment="1">
      <alignment horizontal="left" vertical="center" wrapText="1"/>
    </xf>
    <xf numFmtId="0" fontId="76" fillId="50" borderId="125" xfId="0" applyFont="1" applyFill="1" applyBorder="1" applyAlignment="1">
      <alignment horizontal="left" vertical="center" wrapText="1"/>
    </xf>
    <xf numFmtId="0" fontId="75" fillId="56" borderId="141" xfId="0" applyFont="1" applyFill="1" applyBorder="1" applyAlignment="1">
      <alignment horizontal="center" vertical="center" wrapText="1"/>
    </xf>
    <xf numFmtId="0" fontId="75" fillId="56" borderId="143" xfId="0" applyFont="1" applyFill="1" applyBorder="1" applyAlignment="1">
      <alignment horizontal="center" vertical="center" wrapText="1"/>
    </xf>
    <xf numFmtId="0" fontId="75" fillId="56" borderId="176" xfId="0" applyFont="1" applyFill="1" applyBorder="1" applyAlignment="1">
      <alignment horizontal="center" vertical="center" wrapText="1"/>
    </xf>
    <xf numFmtId="0" fontId="75" fillId="56" borderId="53" xfId="0" applyFont="1" applyFill="1" applyBorder="1" applyAlignment="1">
      <alignment horizontal="center" vertical="center" wrapText="1"/>
    </xf>
    <xf numFmtId="0" fontId="75" fillId="56" borderId="161" xfId="0" applyFont="1" applyFill="1" applyBorder="1" applyAlignment="1">
      <alignment horizontal="center" vertical="center" wrapText="1"/>
    </xf>
    <xf numFmtId="0" fontId="75" fillId="56" borderId="162" xfId="0" applyFont="1" applyFill="1" applyBorder="1" applyAlignment="1">
      <alignment horizontal="center" vertical="center" wrapText="1"/>
    </xf>
    <xf numFmtId="0" fontId="75" fillId="56" borderId="165" xfId="0" applyFont="1" applyFill="1" applyBorder="1" applyAlignment="1">
      <alignment horizontal="center" vertical="center" wrapText="1"/>
    </xf>
    <xf numFmtId="0" fontId="75" fillId="56" borderId="108" xfId="0" applyFont="1" applyFill="1" applyBorder="1" applyAlignment="1">
      <alignment horizontal="center" vertical="center" wrapText="1"/>
    </xf>
    <xf numFmtId="3" fontId="5" fillId="50" borderId="128" xfId="0" applyNumberFormat="1" applyFont="1" applyFill="1" applyBorder="1" applyAlignment="1">
      <alignment horizontal="left" vertical="center" wrapText="1"/>
    </xf>
    <xf numFmtId="3" fontId="5" fillId="50" borderId="45" xfId="0" applyNumberFormat="1" applyFont="1" applyFill="1" applyBorder="1" applyAlignment="1">
      <alignment horizontal="left" vertical="center" wrapText="1"/>
    </xf>
    <xf numFmtId="3" fontId="5" fillId="50" borderId="46" xfId="0" applyNumberFormat="1" applyFont="1" applyFill="1" applyBorder="1" applyAlignment="1">
      <alignment horizontal="left" vertical="center" wrapText="1"/>
    </xf>
    <xf numFmtId="0" fontId="5" fillId="50" borderId="16" xfId="650" quotePrefix="1" applyFont="1" applyFill="1" applyBorder="1" applyAlignment="1">
      <alignment horizontal="center" vertical="center"/>
    </xf>
    <xf numFmtId="0" fontId="75" fillId="54" borderId="48" xfId="0" applyFont="1" applyFill="1" applyBorder="1" applyAlignment="1">
      <alignment horizontal="center" vertical="center"/>
    </xf>
    <xf numFmtId="0" fontId="75" fillId="54" borderId="51" xfId="0" applyFont="1" applyFill="1" applyBorder="1" applyAlignment="1">
      <alignment horizontal="center" vertical="center"/>
    </xf>
    <xf numFmtId="0" fontId="75" fillId="56" borderId="81" xfId="0" applyFont="1" applyFill="1" applyBorder="1" applyAlignment="1">
      <alignment horizontal="center" vertical="center" wrapText="1"/>
    </xf>
    <xf numFmtId="0" fontId="5" fillId="50" borderId="24" xfId="650" quotePrefix="1" applyFont="1" applyFill="1" applyBorder="1" applyAlignment="1">
      <alignment horizontal="center" vertical="center"/>
    </xf>
    <xf numFmtId="0" fontId="5" fillId="50" borderId="51" xfId="650" quotePrefix="1" applyFont="1" applyFill="1" applyBorder="1" applyAlignment="1">
      <alignment horizontal="center" vertical="center"/>
    </xf>
    <xf numFmtId="0" fontId="5" fillId="50" borderId="40" xfId="0" applyFont="1" applyFill="1" applyBorder="1" applyAlignment="1">
      <alignment horizontal="center" vertical="center"/>
    </xf>
    <xf numFmtId="0" fontId="0" fillId="50" borderId="40" xfId="0" applyFill="1" applyBorder="1" applyAlignment="1">
      <alignment horizontal="center" vertical="center"/>
    </xf>
    <xf numFmtId="49" fontId="5" fillId="50" borderId="17" xfId="0" applyNumberFormat="1" applyFont="1" applyFill="1" applyBorder="1" applyAlignment="1">
      <alignment horizontal="center" vertical="center"/>
    </xf>
    <xf numFmtId="4" fontId="73" fillId="0" borderId="45" xfId="945" applyNumberFormat="1" applyFont="1" applyFill="1" applyBorder="1" applyAlignment="1">
      <alignment horizontal="center" vertical="center"/>
    </xf>
    <xf numFmtId="4" fontId="73" fillId="0" borderId="46" xfId="945" applyNumberFormat="1" applyFont="1" applyFill="1" applyBorder="1" applyAlignment="1">
      <alignment horizontal="center" vertical="center"/>
    </xf>
    <xf numFmtId="4" fontId="6" fillId="51" borderId="0" xfId="945" applyNumberFormat="1" applyFont="1" applyFill="1" applyBorder="1" applyAlignment="1">
      <alignment horizontal="center" vertical="center"/>
    </xf>
    <xf numFmtId="0" fontId="75" fillId="56" borderId="127" xfId="0" applyFont="1" applyFill="1" applyBorder="1" applyAlignment="1">
      <alignment horizontal="center" vertical="center" wrapText="1"/>
    </xf>
    <xf numFmtId="0" fontId="75" fillId="56" borderId="150" xfId="0" applyFont="1" applyFill="1" applyBorder="1" applyAlignment="1">
      <alignment horizontal="center" vertical="center" wrapText="1"/>
    </xf>
    <xf numFmtId="4" fontId="76" fillId="0" borderId="90" xfId="0" applyNumberFormat="1" applyFont="1" applyBorder="1" applyAlignment="1">
      <alignment horizontal="left" vertical="center" wrapText="1"/>
    </xf>
    <xf numFmtId="4" fontId="76" fillId="0" borderId="91" xfId="0" applyNumberFormat="1" applyFont="1" applyBorder="1" applyAlignment="1">
      <alignment horizontal="left" vertical="center" wrapText="1"/>
    </xf>
    <xf numFmtId="4" fontId="76" fillId="0" borderId="124" xfId="0" applyNumberFormat="1" applyFont="1" applyBorder="1" applyAlignment="1">
      <alignment horizontal="left" vertical="center" wrapText="1"/>
    </xf>
    <xf numFmtId="4" fontId="76" fillId="0" borderId="0" xfId="0" applyNumberFormat="1" applyFont="1" applyAlignment="1">
      <alignment horizontal="left" vertical="center" wrapText="1"/>
    </xf>
    <xf numFmtId="0" fontId="76" fillId="46" borderId="0" xfId="0" applyFont="1" applyFill="1" applyAlignment="1">
      <alignment horizontal="left" vertical="center" wrapText="1"/>
    </xf>
    <xf numFmtId="0" fontId="76" fillId="46" borderId="30" xfId="0" applyFont="1" applyFill="1" applyBorder="1" applyAlignment="1">
      <alignment horizontal="left" vertical="center" wrapText="1"/>
    </xf>
    <xf numFmtId="4" fontId="76" fillId="0" borderId="148" xfId="0" applyNumberFormat="1" applyFont="1" applyBorder="1" applyAlignment="1">
      <alignment horizontal="left" vertical="center"/>
    </xf>
    <xf numFmtId="4" fontId="76" fillId="0" borderId="90" xfId="0" applyNumberFormat="1" applyFont="1" applyBorder="1" applyAlignment="1">
      <alignment horizontal="left" vertical="center"/>
    </xf>
    <xf numFmtId="0" fontId="75" fillId="56" borderId="126" xfId="0" applyFont="1" applyFill="1" applyBorder="1" applyAlignment="1">
      <alignment horizontal="center" vertical="center" wrapText="1"/>
    </xf>
    <xf numFmtId="0" fontId="75" fillId="56" borderId="149" xfId="0" applyFont="1" applyFill="1" applyBorder="1" applyAlignment="1">
      <alignment horizontal="center" vertical="center" wrapText="1"/>
    </xf>
    <xf numFmtId="2" fontId="5" fillId="55" borderId="39" xfId="0" applyNumberFormat="1" applyFont="1" applyFill="1" applyBorder="1" applyAlignment="1">
      <alignment horizontal="center" vertical="center"/>
    </xf>
    <xf numFmtId="2" fontId="5" fillId="55" borderId="120" xfId="0" applyNumberFormat="1" applyFont="1" applyFill="1" applyBorder="1" applyAlignment="1">
      <alignment horizontal="center" vertical="center"/>
    </xf>
    <xf numFmtId="4" fontId="5" fillId="55" borderId="40" xfId="0" applyNumberFormat="1" applyFont="1" applyFill="1" applyBorder="1" applyAlignment="1">
      <alignment horizontal="left" vertical="center" wrapText="1"/>
    </xf>
    <xf numFmtId="4" fontId="5" fillId="55" borderId="40" xfId="0" applyNumberFormat="1" applyFont="1" applyFill="1" applyBorder="1" applyAlignment="1">
      <alignment horizontal="center" vertical="center" wrapText="1"/>
    </xf>
    <xf numFmtId="0" fontId="75" fillId="56" borderId="38" xfId="0" applyFont="1" applyFill="1" applyBorder="1" applyAlignment="1">
      <alignment horizontal="center" vertical="center"/>
    </xf>
    <xf numFmtId="2" fontId="6" fillId="50" borderId="41" xfId="0" applyNumberFormat="1" applyFont="1" applyFill="1" applyBorder="1" applyAlignment="1">
      <alignment horizontal="center" vertical="center"/>
    </xf>
    <xf numFmtId="2" fontId="5" fillId="55" borderId="47" xfId="0" applyNumberFormat="1" applyFont="1" applyFill="1" applyBorder="1" applyAlignment="1">
      <alignment horizontal="center" vertical="center"/>
    </xf>
    <xf numFmtId="4" fontId="5" fillId="55" borderId="52" xfId="0" applyNumberFormat="1" applyFont="1" applyFill="1" applyBorder="1" applyAlignment="1">
      <alignment horizontal="left" vertical="center" wrapText="1"/>
    </xf>
    <xf numFmtId="4" fontId="5" fillId="55" borderId="53" xfId="0" applyNumberFormat="1" applyFont="1" applyFill="1" applyBorder="1" applyAlignment="1">
      <alignment horizontal="left" vertical="center" wrapText="1"/>
    </xf>
    <xf numFmtId="4" fontId="5" fillId="55" borderId="54" xfId="0" applyNumberFormat="1" applyFont="1" applyFill="1" applyBorder="1" applyAlignment="1">
      <alignment horizontal="left" vertical="center" wrapText="1"/>
    </xf>
    <xf numFmtId="2" fontId="6" fillId="50" borderId="44" xfId="0" applyNumberFormat="1" applyFont="1" applyFill="1" applyBorder="1" applyAlignment="1">
      <alignment horizontal="center" vertical="center"/>
    </xf>
    <xf numFmtId="4" fontId="75" fillId="56" borderId="50" xfId="0" applyNumberFormat="1" applyFont="1" applyFill="1" applyBorder="1" applyAlignment="1">
      <alignment horizontal="center" vertical="center"/>
    </xf>
    <xf numFmtId="4" fontId="75" fillId="56" borderId="38" xfId="0" applyNumberFormat="1" applyFont="1" applyFill="1" applyBorder="1" applyAlignment="1">
      <alignment horizontal="center" vertical="center"/>
    </xf>
    <xf numFmtId="4" fontId="75" fillId="56" borderId="51" xfId="0" applyNumberFormat="1" applyFont="1" applyFill="1" applyBorder="1" applyAlignment="1">
      <alignment horizontal="center" vertical="center"/>
    </xf>
    <xf numFmtId="4" fontId="5" fillId="55" borderId="52" xfId="0" applyNumberFormat="1" applyFont="1" applyFill="1" applyBorder="1" applyAlignment="1">
      <alignment horizontal="left" vertical="center"/>
    </xf>
    <xf numFmtId="4" fontId="5" fillId="55" borderId="53" xfId="0" applyNumberFormat="1" applyFont="1" applyFill="1" applyBorder="1" applyAlignment="1">
      <alignment horizontal="left" vertical="center"/>
    </xf>
    <xf numFmtId="4" fontId="5" fillId="55" borderId="54" xfId="0" applyNumberFormat="1" applyFont="1" applyFill="1" applyBorder="1" applyAlignment="1">
      <alignment horizontal="left" vertical="center"/>
    </xf>
    <xf numFmtId="2" fontId="6" fillId="50" borderId="49" xfId="0" applyNumberFormat="1" applyFont="1" applyFill="1" applyBorder="1" applyAlignment="1">
      <alignment horizontal="center" vertical="center"/>
    </xf>
    <xf numFmtId="2" fontId="5" fillId="55" borderId="48" xfId="0" applyNumberFormat="1" applyFont="1" applyFill="1" applyBorder="1" applyAlignment="1">
      <alignment horizontal="center" vertical="center"/>
    </xf>
    <xf numFmtId="2" fontId="5" fillId="55" borderId="61" xfId="0" applyNumberFormat="1" applyFont="1" applyFill="1" applyBorder="1" applyAlignment="1">
      <alignment horizontal="center" vertical="center"/>
    </xf>
    <xf numFmtId="4" fontId="5" fillId="55" borderId="53" xfId="0" applyNumberFormat="1" applyFont="1" applyFill="1" applyBorder="1" applyAlignment="1">
      <alignment horizontal="center" vertical="center"/>
    </xf>
    <xf numFmtId="4" fontId="5" fillId="55" borderId="54" xfId="0" applyNumberFormat="1" applyFont="1" applyFill="1" applyBorder="1" applyAlignment="1">
      <alignment horizontal="center" vertical="center"/>
    </xf>
    <xf numFmtId="4" fontId="75" fillId="56" borderId="63" xfId="0" applyNumberFormat="1" applyFont="1" applyFill="1" applyBorder="1" applyAlignment="1">
      <alignment horizontal="center" vertical="center"/>
    </xf>
    <xf numFmtId="0" fontId="75" fillId="56" borderId="16" xfId="0" applyFont="1" applyFill="1" applyBorder="1" applyAlignment="1">
      <alignment horizontal="center" vertical="center"/>
    </xf>
    <xf numFmtId="0" fontId="75" fillId="56" borderId="17" xfId="0" applyFont="1" applyFill="1" applyBorder="1" applyAlignment="1">
      <alignment horizontal="center" vertical="center"/>
    </xf>
    <xf numFmtId="2" fontId="6" fillId="50" borderId="56" xfId="0" applyNumberFormat="1" applyFont="1" applyFill="1" applyBorder="1" applyAlignment="1">
      <alignment horizontal="center" vertical="center"/>
    </xf>
    <xf numFmtId="2" fontId="6" fillId="50" borderId="57" xfId="0" applyNumberFormat="1" applyFont="1" applyFill="1" applyBorder="1" applyAlignment="1">
      <alignment horizontal="center" vertical="center"/>
    </xf>
    <xf numFmtId="2" fontId="6" fillId="50" borderId="66" xfId="0" applyNumberFormat="1" applyFont="1" applyFill="1" applyBorder="1" applyAlignment="1">
      <alignment horizontal="center" vertical="center"/>
    </xf>
    <xf numFmtId="4" fontId="5" fillId="55" borderId="53" xfId="0" applyNumberFormat="1" applyFont="1" applyFill="1" applyBorder="1" applyAlignment="1">
      <alignment horizontal="center" vertical="center" wrapText="1"/>
    </xf>
    <xf numFmtId="4" fontId="5" fillId="55" borderId="54" xfId="0" applyNumberFormat="1" applyFont="1" applyFill="1" applyBorder="1" applyAlignment="1">
      <alignment horizontal="center" vertical="center" wrapText="1"/>
    </xf>
    <xf numFmtId="0" fontId="75" fillId="56" borderId="24" xfId="0" applyFont="1" applyFill="1" applyBorder="1" applyAlignment="1">
      <alignment horizontal="center" vertical="center"/>
    </xf>
    <xf numFmtId="2" fontId="6" fillId="50" borderId="58" xfId="0" applyNumberFormat="1" applyFont="1" applyFill="1" applyBorder="1" applyAlignment="1">
      <alignment horizontal="center" vertical="center"/>
    </xf>
    <xf numFmtId="0" fontId="75" fillId="56" borderId="50" xfId="0" applyFont="1" applyFill="1" applyBorder="1" applyAlignment="1">
      <alignment horizontal="center" vertical="center"/>
    </xf>
    <xf numFmtId="0" fontId="75" fillId="56" borderId="51" xfId="0" applyFont="1" applyFill="1" applyBorder="1" applyAlignment="1">
      <alignment horizontal="center" vertical="center"/>
    </xf>
    <xf numFmtId="4" fontId="75" fillId="56" borderId="40" xfId="0" applyNumberFormat="1" applyFont="1" applyFill="1" applyBorder="1" applyAlignment="1">
      <alignment horizontal="center" vertical="center"/>
    </xf>
    <xf numFmtId="2" fontId="6" fillId="50" borderId="107" xfId="0" applyNumberFormat="1" applyFont="1" applyFill="1" applyBorder="1" applyAlignment="1">
      <alignment horizontal="center" vertical="center"/>
    </xf>
    <xf numFmtId="4" fontId="5" fillId="55" borderId="62" xfId="0" applyNumberFormat="1" applyFont="1" applyFill="1" applyBorder="1" applyAlignment="1">
      <alignment horizontal="left" vertical="center" wrapText="1"/>
    </xf>
    <xf numFmtId="4" fontId="5" fillId="55" borderId="12" xfId="0" applyNumberFormat="1" applyFont="1" applyFill="1" applyBorder="1" applyAlignment="1">
      <alignment horizontal="center" vertical="center" wrapText="1"/>
    </xf>
    <xf numFmtId="4" fontId="5" fillId="55" borderId="55" xfId="0" applyNumberFormat="1" applyFont="1" applyFill="1" applyBorder="1" applyAlignment="1">
      <alignment horizontal="center" vertical="center" wrapText="1"/>
    </xf>
    <xf numFmtId="2" fontId="5" fillId="55" borderId="59" xfId="0" applyNumberFormat="1" applyFont="1" applyFill="1" applyBorder="1" applyAlignment="1">
      <alignment horizontal="center" vertical="center"/>
    </xf>
    <xf numFmtId="2" fontId="5" fillId="55" borderId="60" xfId="0" applyNumberFormat="1" applyFont="1" applyFill="1" applyBorder="1" applyAlignment="1">
      <alignment horizontal="center" vertical="center"/>
    </xf>
    <xf numFmtId="2" fontId="5" fillId="55" borderId="112" xfId="0" applyNumberFormat="1" applyFont="1" applyFill="1" applyBorder="1" applyAlignment="1">
      <alignment horizontal="center" vertical="center"/>
    </xf>
    <xf numFmtId="4" fontId="6" fillId="0" borderId="46" xfId="0" applyNumberFormat="1" applyFont="1" applyBorder="1" applyAlignment="1">
      <alignment horizontal="center" vertical="top" wrapText="1"/>
    </xf>
    <xf numFmtId="4" fontId="6" fillId="0" borderId="16" xfId="0" applyNumberFormat="1" applyFont="1" applyBorder="1" applyAlignment="1">
      <alignment horizontal="center" vertical="top" wrapText="1"/>
    </xf>
    <xf numFmtId="4" fontId="5" fillId="55" borderId="63" xfId="0" applyNumberFormat="1" applyFont="1" applyFill="1" applyBorder="1" applyAlignment="1">
      <alignment horizontal="left" vertical="center" wrapText="1"/>
    </xf>
    <xf numFmtId="4" fontId="5" fillId="55" borderId="63" xfId="0" applyNumberFormat="1" applyFont="1" applyFill="1" applyBorder="1" applyAlignment="1">
      <alignment horizontal="center" vertical="center" wrapText="1"/>
    </xf>
    <xf numFmtId="0" fontId="5" fillId="46" borderId="0" xfId="0" applyFont="1" applyFill="1" applyAlignment="1">
      <alignment horizontal="left" vertical="center" wrapText="1"/>
    </xf>
    <xf numFmtId="0" fontId="5" fillId="46" borderId="0" xfId="0" applyFont="1" applyFill="1" applyAlignment="1">
      <alignment horizontal="center" vertical="center" wrapText="1"/>
    </xf>
    <xf numFmtId="0" fontId="75" fillId="56" borderId="44" xfId="0" applyFont="1" applyFill="1" applyBorder="1" applyAlignment="1">
      <alignment horizontal="center" vertical="center"/>
    </xf>
    <xf numFmtId="0" fontId="75" fillId="56" borderId="41" xfId="0" applyFont="1" applyFill="1" applyBorder="1" applyAlignment="1">
      <alignment horizontal="center" vertical="center"/>
    </xf>
    <xf numFmtId="0" fontId="75" fillId="56" borderId="49" xfId="0" applyFont="1" applyFill="1" applyBorder="1" applyAlignment="1">
      <alignment horizontal="center" vertical="center"/>
    </xf>
    <xf numFmtId="2" fontId="6" fillId="50" borderId="138" xfId="0" applyNumberFormat="1" applyFont="1" applyFill="1" applyBorder="1" applyAlignment="1">
      <alignment horizontal="center" vertical="center"/>
    </xf>
    <xf numFmtId="2" fontId="6" fillId="50" borderId="139" xfId="0" applyNumberFormat="1" applyFont="1" applyFill="1" applyBorder="1" applyAlignment="1">
      <alignment horizontal="center" vertical="center"/>
    </xf>
    <xf numFmtId="2" fontId="6" fillId="50" borderId="140" xfId="0" applyNumberFormat="1" applyFont="1" applyFill="1" applyBorder="1" applyAlignment="1">
      <alignment horizontal="center" vertical="center"/>
    </xf>
    <xf numFmtId="0" fontId="6" fillId="48" borderId="45" xfId="0" applyFont="1" applyFill="1" applyBorder="1" applyAlignment="1">
      <alignment horizontal="left" vertical="center"/>
    </xf>
    <xf numFmtId="4" fontId="6" fillId="50" borderId="41" xfId="0" applyNumberFormat="1" applyFont="1" applyFill="1" applyBorder="1" applyAlignment="1">
      <alignment horizontal="center" vertical="center"/>
    </xf>
    <xf numFmtId="4" fontId="5" fillId="55" borderId="12" xfId="0" applyNumberFormat="1" applyFont="1" applyFill="1" applyBorder="1" applyAlignment="1">
      <alignment horizontal="left" vertical="center" wrapText="1"/>
    </xf>
    <xf numFmtId="4" fontId="5" fillId="55" borderId="55" xfId="0" applyNumberFormat="1" applyFont="1" applyFill="1" applyBorder="1" applyAlignment="1">
      <alignment horizontal="left" vertical="center" wrapText="1"/>
    </xf>
    <xf numFmtId="2" fontId="5" fillId="55" borderId="132" xfId="0" applyNumberFormat="1" applyFont="1" applyFill="1" applyBorder="1" applyAlignment="1">
      <alignment horizontal="center" vertical="center"/>
    </xf>
    <xf numFmtId="2" fontId="5" fillId="55" borderId="124" xfId="0" applyNumberFormat="1" applyFont="1" applyFill="1" applyBorder="1" applyAlignment="1">
      <alignment horizontal="center" vertical="center"/>
    </xf>
    <xf numFmtId="2" fontId="5" fillId="55" borderId="131" xfId="0" applyNumberFormat="1" applyFont="1" applyFill="1" applyBorder="1" applyAlignment="1">
      <alignment horizontal="center" vertical="center"/>
    </xf>
    <xf numFmtId="1" fontId="6" fillId="50" borderId="56" xfId="0" applyNumberFormat="1" applyFont="1" applyFill="1" applyBorder="1" applyAlignment="1">
      <alignment horizontal="center" vertical="center"/>
    </xf>
    <xf numFmtId="1" fontId="6" fillId="50" borderId="58" xfId="0" applyNumberFormat="1" applyFont="1" applyFill="1" applyBorder="1" applyAlignment="1">
      <alignment horizontal="center" vertical="center"/>
    </xf>
    <xf numFmtId="1" fontId="6" fillId="50" borderId="66" xfId="0" applyNumberFormat="1" applyFont="1" applyFill="1" applyBorder="1" applyAlignment="1">
      <alignment horizontal="center" vertical="center"/>
    </xf>
    <xf numFmtId="1" fontId="6" fillId="50" borderId="44" xfId="0" applyNumberFormat="1" applyFont="1" applyFill="1" applyBorder="1" applyAlignment="1">
      <alignment horizontal="center" vertical="center"/>
    </xf>
    <xf numFmtId="1" fontId="6" fillId="50" borderId="41" xfId="0" applyNumberFormat="1" applyFont="1" applyFill="1" applyBorder="1" applyAlignment="1">
      <alignment horizontal="center" vertical="center"/>
    </xf>
    <xf numFmtId="1" fontId="6" fillId="50" borderId="49" xfId="0" applyNumberFormat="1" applyFont="1" applyFill="1" applyBorder="1" applyAlignment="1">
      <alignment horizontal="center" vertical="center"/>
    </xf>
    <xf numFmtId="202" fontId="6" fillId="50" borderId="41" xfId="0" applyNumberFormat="1" applyFont="1" applyFill="1" applyBorder="1" applyAlignment="1">
      <alignment horizontal="center" vertical="center"/>
    </xf>
    <xf numFmtId="4" fontId="27" fillId="50" borderId="19" xfId="0" applyNumberFormat="1" applyFont="1" applyFill="1" applyBorder="1" applyAlignment="1">
      <alignment horizontal="left" vertical="center" wrapText="1"/>
    </xf>
    <xf numFmtId="0" fontId="27" fillId="50" borderId="13" xfId="0" applyFont="1" applyFill="1" applyBorder="1" applyAlignment="1">
      <alignment horizontal="left" vertical="center" wrapText="1"/>
    </xf>
    <xf numFmtId="0" fontId="80" fillId="56" borderId="94" xfId="0" applyFont="1" applyFill="1" applyBorder="1" applyAlignment="1">
      <alignment horizontal="center" vertical="center" wrapText="1"/>
    </xf>
    <xf numFmtId="0" fontId="80" fillId="56" borderId="95" xfId="0" applyFont="1" applyFill="1" applyBorder="1" applyAlignment="1">
      <alignment horizontal="center" vertical="center" wrapText="1"/>
    </xf>
    <xf numFmtId="0" fontId="80" fillId="56" borderId="96" xfId="0" applyFont="1" applyFill="1" applyBorder="1" applyAlignment="1">
      <alignment horizontal="center" vertical="center" wrapText="1"/>
    </xf>
    <xf numFmtId="0" fontId="80" fillId="56" borderId="97" xfId="0" applyFont="1" applyFill="1" applyBorder="1" applyAlignment="1">
      <alignment horizontal="center" vertical="center" wrapText="1"/>
    </xf>
    <xf numFmtId="172" fontId="27" fillId="50" borderId="61" xfId="0" applyNumberFormat="1" applyFont="1" applyFill="1" applyBorder="1" applyAlignment="1">
      <alignment horizontal="center" vertical="center"/>
    </xf>
    <xf numFmtId="172" fontId="27" fillId="50" borderId="120" xfId="0" applyNumberFormat="1" applyFont="1" applyFill="1" applyBorder="1" applyAlignment="1">
      <alignment horizontal="center" vertical="center"/>
    </xf>
    <xf numFmtId="4" fontId="30" fillId="0" borderId="68" xfId="0" applyNumberFormat="1" applyFont="1" applyBorder="1" applyAlignment="1">
      <alignment horizontal="center" vertical="center"/>
    </xf>
    <xf numFmtId="4" fontId="30" fillId="0" borderId="69" xfId="0" applyNumberFormat="1" applyFont="1" applyBorder="1" applyAlignment="1">
      <alignment horizontal="center" vertical="center"/>
    </xf>
    <xf numFmtId="4" fontId="30" fillId="0" borderId="70" xfId="0" applyNumberFormat="1" applyFont="1" applyBorder="1" applyAlignment="1">
      <alignment horizontal="center" vertical="center"/>
    </xf>
    <xf numFmtId="4" fontId="30" fillId="0" borderId="71" xfId="0" applyNumberFormat="1" applyFont="1" applyBorder="1" applyAlignment="1">
      <alignment horizontal="center" vertical="center"/>
    </xf>
    <xf numFmtId="0" fontId="80" fillId="56" borderId="151" xfId="0" applyFont="1" applyFill="1" applyBorder="1" applyAlignment="1">
      <alignment horizontal="center" vertical="center" wrapText="1"/>
    </xf>
    <xf numFmtId="0" fontId="80" fillId="56" borderId="153" xfId="0" applyFont="1" applyFill="1" applyBorder="1" applyAlignment="1">
      <alignment horizontal="center" vertical="center" wrapText="1"/>
    </xf>
    <xf numFmtId="4" fontId="28" fillId="55" borderId="19" xfId="945" applyNumberFormat="1" applyFont="1" applyFill="1" applyBorder="1" applyAlignment="1">
      <alignment horizontal="right" vertical="center"/>
    </xf>
    <xf numFmtId="4" fontId="28" fillId="55" borderId="13" xfId="945" applyNumberFormat="1" applyFont="1" applyFill="1" applyBorder="1" applyAlignment="1">
      <alignment horizontal="right" vertical="center"/>
    </xf>
    <xf numFmtId="0" fontId="80" fillId="56" borderId="98" xfId="0" applyFont="1" applyFill="1" applyBorder="1" applyAlignment="1">
      <alignment horizontal="center" vertical="center" wrapText="1"/>
    </xf>
    <xf numFmtId="0" fontId="80" fillId="56" borderId="90" xfId="0" applyFont="1" applyFill="1" applyBorder="1" applyAlignment="1">
      <alignment horizontal="center" vertical="center" wrapText="1"/>
    </xf>
    <xf numFmtId="0" fontId="80" fillId="56" borderId="99" xfId="0" applyFont="1" applyFill="1" applyBorder="1" applyAlignment="1">
      <alignment horizontal="center" vertical="center" wrapText="1"/>
    </xf>
    <xf numFmtId="0" fontId="80" fillId="56" borderId="82" xfId="0" applyFont="1" applyFill="1" applyBorder="1" applyAlignment="1">
      <alignment horizontal="center" vertical="center" wrapText="1"/>
    </xf>
    <xf numFmtId="0" fontId="80" fillId="56" borderId="83" xfId="0" applyFont="1" applyFill="1" applyBorder="1" applyAlignment="1">
      <alignment horizontal="center" vertical="center" wrapText="1"/>
    </xf>
    <xf numFmtId="0" fontId="80" fillId="56" borderId="100" xfId="0" applyFont="1" applyFill="1" applyBorder="1" applyAlignment="1">
      <alignment horizontal="center" vertical="center" wrapText="1"/>
    </xf>
    <xf numFmtId="0" fontId="80" fillId="56" borderId="101" xfId="0" applyFont="1" applyFill="1" applyBorder="1" applyAlignment="1">
      <alignment horizontal="center" vertical="center" wrapText="1"/>
    </xf>
    <xf numFmtId="0" fontId="80" fillId="56" borderId="152" xfId="0" applyFont="1" applyFill="1" applyBorder="1" applyAlignment="1">
      <alignment horizontal="center" vertical="center" wrapText="1"/>
    </xf>
    <xf numFmtId="4" fontId="29" fillId="0" borderId="14" xfId="0" applyNumberFormat="1" applyFont="1" applyBorder="1" applyAlignment="1">
      <alignment horizontal="center" vertical="center"/>
    </xf>
    <xf numFmtId="0" fontId="27" fillId="48" borderId="60" xfId="0" applyFont="1" applyFill="1" applyBorder="1" applyAlignment="1">
      <alignment horizontal="center" vertical="center"/>
    </xf>
    <xf numFmtId="0" fontId="27" fillId="48" borderId="16" xfId="0" applyFont="1" applyFill="1" applyBorder="1" applyAlignment="1">
      <alignment horizontal="center" vertical="center"/>
    </xf>
    <xf numFmtId="170" fontId="31" fillId="0" borderId="15" xfId="945" applyNumberFormat="1" applyFont="1" applyFill="1" applyBorder="1" applyAlignment="1">
      <alignment horizontal="right" vertical="center"/>
    </xf>
    <xf numFmtId="169" fontId="27" fillId="48" borderId="16" xfId="945" applyNumberFormat="1" applyFont="1" applyFill="1" applyBorder="1" applyAlignment="1">
      <alignment horizontal="right" vertical="center"/>
    </xf>
    <xf numFmtId="169" fontId="27" fillId="48" borderId="17" xfId="945" applyNumberFormat="1" applyFont="1" applyFill="1" applyBorder="1" applyAlignment="1">
      <alignment horizontal="right" vertical="center"/>
    </xf>
    <xf numFmtId="0" fontId="27" fillId="48" borderId="112" xfId="0" applyFont="1" applyFill="1" applyBorder="1" applyAlignment="1">
      <alignment horizontal="center" vertical="center"/>
    </xf>
    <xf numFmtId="0" fontId="27" fillId="48" borderId="17" xfId="0" applyFont="1" applyFill="1" applyBorder="1" applyAlignment="1">
      <alignment horizontal="center" vertical="center"/>
    </xf>
    <xf numFmtId="1" fontId="27" fillId="50" borderId="61" xfId="0" applyNumberFormat="1" applyFont="1" applyFill="1" applyBorder="1" applyAlignment="1">
      <alignment horizontal="center" vertical="center"/>
    </xf>
    <xf numFmtId="1" fontId="27" fillId="50" borderId="120" xfId="0" applyNumberFormat="1" applyFont="1" applyFill="1" applyBorder="1" applyAlignment="1">
      <alignment horizontal="center" vertical="center"/>
    </xf>
    <xf numFmtId="0" fontId="80" fillId="56" borderId="128" xfId="0" applyFont="1" applyFill="1" applyBorder="1" applyAlignment="1">
      <alignment horizontal="left" vertical="center" wrapText="1"/>
    </xf>
    <xf numFmtId="0" fontId="80" fillId="56" borderId="45" xfId="0" applyFont="1" applyFill="1" applyBorder="1" applyAlignment="1">
      <alignment horizontal="left" vertical="center" wrapText="1"/>
    </xf>
    <xf numFmtId="0" fontId="80" fillId="56" borderId="129" xfId="0" applyFont="1" applyFill="1" applyBorder="1" applyAlignment="1">
      <alignment horizontal="left" vertical="center" wrapText="1"/>
    </xf>
    <xf numFmtId="0" fontId="75" fillId="49" borderId="128" xfId="344" applyFont="1" applyFill="1" applyBorder="1" applyAlignment="1">
      <alignment horizontal="left" vertical="center"/>
    </xf>
    <xf numFmtId="0" fontId="75" fillId="49" borderId="45" xfId="344" applyFont="1" applyFill="1" applyBorder="1" applyAlignment="1">
      <alignment horizontal="left" vertical="center"/>
    </xf>
    <xf numFmtId="0" fontId="75" fillId="49" borderId="129" xfId="344" applyFont="1" applyFill="1" applyBorder="1" applyAlignment="1">
      <alignment horizontal="left" vertical="center"/>
    </xf>
    <xf numFmtId="0" fontId="6" fillId="50" borderId="62" xfId="344" applyFont="1" applyFill="1" applyBorder="1" applyAlignment="1">
      <alignment horizontal="left" vertical="center"/>
    </xf>
    <xf numFmtId="0" fontId="6" fillId="50" borderId="12" xfId="344" applyFont="1" applyFill="1" applyBorder="1" applyAlignment="1">
      <alignment horizontal="left" vertical="center"/>
    </xf>
    <xf numFmtId="0" fontId="59" fillId="50" borderId="58" xfId="548" applyFont="1" applyFill="1" applyBorder="1" applyAlignment="1">
      <alignment horizontal="center" vertical="center" wrapText="1"/>
    </xf>
    <xf numFmtId="0" fontId="59" fillId="50" borderId="41" xfId="548" applyFont="1" applyFill="1" applyBorder="1" applyAlignment="1">
      <alignment horizontal="center" vertical="center" wrapText="1"/>
    </xf>
    <xf numFmtId="17" fontId="59" fillId="50" borderId="41" xfId="548" applyNumberFormat="1" applyFont="1" applyFill="1" applyBorder="1" applyAlignment="1">
      <alignment horizontal="center" vertical="center" wrapText="1"/>
    </xf>
    <xf numFmtId="2" fontId="5" fillId="50" borderId="60" xfId="344" applyNumberFormat="1" applyFill="1" applyBorder="1" applyAlignment="1">
      <alignment horizontal="center" vertical="center" wrapText="1"/>
    </xf>
    <xf numFmtId="2" fontId="5" fillId="50" borderId="16" xfId="344" applyNumberFormat="1" applyFill="1" applyBorder="1" applyAlignment="1">
      <alignment horizontal="center" vertical="center" wrapText="1"/>
    </xf>
    <xf numFmtId="2" fontId="5" fillId="50" borderId="57" xfId="344" applyNumberFormat="1" applyFill="1" applyBorder="1" applyAlignment="1">
      <alignment horizontal="center" vertical="center" wrapText="1"/>
    </xf>
    <xf numFmtId="0" fontId="59" fillId="50" borderId="60" xfId="548" applyFont="1" applyFill="1" applyBorder="1" applyAlignment="1">
      <alignment horizontal="center" vertical="center" wrapText="1"/>
    </xf>
    <xf numFmtId="0" fontId="5" fillId="0" borderId="60" xfId="385" applyBorder="1" applyAlignment="1">
      <alignment vertical="center"/>
    </xf>
    <xf numFmtId="0" fontId="5" fillId="0" borderId="61" xfId="385" applyBorder="1" applyAlignment="1">
      <alignment vertical="center"/>
    </xf>
    <xf numFmtId="0" fontId="5" fillId="50" borderId="124" xfId="344" applyFill="1" applyBorder="1" applyAlignment="1" applyProtection="1">
      <alignment horizontal="left" vertical="center" indent="1"/>
      <protection locked="0"/>
    </xf>
    <xf numFmtId="0" fontId="5" fillId="50" borderId="0" xfId="344" applyFill="1" applyAlignment="1" applyProtection="1">
      <alignment horizontal="left" vertical="center" indent="1"/>
      <protection locked="0"/>
    </xf>
    <xf numFmtId="0" fontId="5" fillId="50" borderId="125" xfId="344" applyFill="1" applyBorder="1" applyAlignment="1" applyProtection="1">
      <alignment horizontal="left" vertical="center" indent="1"/>
      <protection locked="0"/>
    </xf>
    <xf numFmtId="0" fontId="6" fillId="50" borderId="132" xfId="344" applyFont="1" applyFill="1" applyBorder="1" applyAlignment="1">
      <alignment horizontal="left" vertical="center" indent="1"/>
    </xf>
    <xf numFmtId="0" fontId="6" fillId="50" borderId="18" xfId="344" applyFont="1" applyFill="1" applyBorder="1" applyAlignment="1">
      <alignment horizontal="left" vertical="center" indent="1"/>
    </xf>
    <xf numFmtId="0" fontId="6" fillId="50" borderId="133" xfId="344" applyFont="1" applyFill="1" applyBorder="1" applyAlignment="1">
      <alignment horizontal="left" vertical="center" indent="1"/>
    </xf>
    <xf numFmtId="0" fontId="29" fillId="50" borderId="124" xfId="344" applyFont="1" applyFill="1" applyBorder="1" applyAlignment="1">
      <alignment horizontal="left" vertical="center" wrapText="1"/>
    </xf>
    <xf numFmtId="0" fontId="29" fillId="50" borderId="0" xfId="344" applyFont="1" applyFill="1" applyAlignment="1">
      <alignment horizontal="left" vertical="center" wrapText="1"/>
    </xf>
    <xf numFmtId="0" fontId="29" fillId="50" borderId="125" xfId="344" applyFont="1" applyFill="1" applyBorder="1" applyAlignment="1">
      <alignment horizontal="left" vertical="center" wrapText="1"/>
    </xf>
    <xf numFmtId="0" fontId="84" fillId="50" borderId="64" xfId="344" applyFont="1" applyFill="1" applyBorder="1" applyAlignment="1">
      <alignment horizontal="left" vertical="center"/>
    </xf>
    <xf numFmtId="0" fontId="84" fillId="50" borderId="0" xfId="344" applyFont="1" applyFill="1" applyAlignment="1">
      <alignment horizontal="left" vertical="center"/>
    </xf>
    <xf numFmtId="4" fontId="6" fillId="50" borderId="64" xfId="344" applyNumberFormat="1" applyFont="1" applyFill="1" applyBorder="1" applyAlignment="1">
      <alignment horizontal="left" vertical="center"/>
    </xf>
    <xf numFmtId="4" fontId="6" fillId="50" borderId="0" xfId="344" applyNumberFormat="1" applyFont="1" applyFill="1" applyAlignment="1">
      <alignment horizontal="left" vertical="center"/>
    </xf>
    <xf numFmtId="0" fontId="75" fillId="54" borderId="157" xfId="0" applyFont="1" applyFill="1" applyBorder="1" applyAlignment="1">
      <alignment horizontal="center" vertical="center"/>
    </xf>
    <xf numFmtId="0" fontId="75" fillId="54" borderId="8" xfId="0" applyFont="1" applyFill="1" applyBorder="1" applyAlignment="1">
      <alignment horizontal="center" vertical="center"/>
    </xf>
    <xf numFmtId="0" fontId="75" fillId="54" borderId="159" xfId="0" applyFont="1" applyFill="1" applyBorder="1" applyAlignment="1">
      <alignment horizontal="center" vertical="center"/>
    </xf>
    <xf numFmtId="0" fontId="74" fillId="50" borderId="119" xfId="597" applyFont="1" applyFill="1" applyBorder="1" applyAlignment="1">
      <alignment horizontal="left" vertical="center"/>
    </xf>
    <xf numFmtId="0" fontId="74" fillId="50" borderId="42" xfId="597" applyFont="1" applyFill="1" applyBorder="1" applyAlignment="1">
      <alignment horizontal="left" vertical="center"/>
    </xf>
    <xf numFmtId="0" fontId="74" fillId="50" borderId="35" xfId="597" applyFont="1" applyFill="1" applyBorder="1" applyAlignment="1">
      <alignment horizontal="left" vertical="center"/>
    </xf>
    <xf numFmtId="44" fontId="75" fillId="49" borderId="160" xfId="0" applyNumberFormat="1" applyFont="1" applyFill="1" applyBorder="1" applyAlignment="1">
      <alignment horizontal="center" vertical="center" wrapText="1"/>
    </xf>
    <xf numFmtId="44" fontId="75" fillId="49" borderId="54" xfId="0" applyNumberFormat="1" applyFont="1" applyFill="1" applyBorder="1" applyAlignment="1">
      <alignment horizontal="center" vertical="center" wrapText="1"/>
    </xf>
    <xf numFmtId="44" fontId="6" fillId="48" borderId="52" xfId="195" applyFont="1" applyFill="1" applyBorder="1" applyAlignment="1">
      <alignment horizontal="left" vertical="center"/>
    </xf>
    <xf numFmtId="44" fontId="6" fillId="48" borderId="53" xfId="195" applyFont="1" applyFill="1" applyBorder="1" applyAlignment="1">
      <alignment horizontal="left" vertical="center"/>
    </xf>
    <xf numFmtId="44" fontId="6" fillId="48" borderId="161" xfId="195" applyFont="1" applyFill="1" applyBorder="1" applyAlignment="1">
      <alignment horizontal="left" vertical="center"/>
    </xf>
    <xf numFmtId="0" fontId="87" fillId="57" borderId="112" xfId="597" applyFont="1" applyFill="1" applyBorder="1" applyAlignment="1">
      <alignment horizontal="left" vertical="center"/>
    </xf>
    <xf numFmtId="0" fontId="87" fillId="57" borderId="77" xfId="597" applyFont="1" applyFill="1" applyBorder="1" applyAlignment="1">
      <alignment horizontal="left" vertical="center"/>
    </xf>
    <xf numFmtId="0" fontId="87" fillId="57" borderId="17" xfId="597" applyFont="1" applyFill="1" applyBorder="1" applyAlignment="1">
      <alignment horizontal="left" vertical="center"/>
    </xf>
    <xf numFmtId="0" fontId="87" fillId="57" borderId="17" xfId="597" applyFont="1" applyFill="1" applyBorder="1" applyAlignment="1">
      <alignment horizontal="center" vertical="center"/>
    </xf>
    <xf numFmtId="0" fontId="87" fillId="57" borderId="66" xfId="597" applyFont="1" applyFill="1" applyBorder="1" applyAlignment="1">
      <alignment horizontal="center" vertical="center"/>
    </xf>
    <xf numFmtId="0" fontId="75" fillId="56" borderId="114" xfId="0" applyFont="1" applyFill="1" applyBorder="1" applyAlignment="1">
      <alignment horizontal="center" vertical="center" wrapText="1"/>
    </xf>
    <xf numFmtId="0" fontId="75" fillId="56" borderId="115" xfId="0" applyFont="1" applyFill="1" applyBorder="1" applyAlignment="1">
      <alignment horizontal="center" vertical="center" wrapText="1"/>
    </xf>
    <xf numFmtId="0" fontId="75" fillId="56" borderId="163" xfId="0" applyFont="1" applyFill="1" applyBorder="1" applyAlignment="1">
      <alignment horizontal="center" vertical="center" wrapText="1"/>
    </xf>
    <xf numFmtId="0" fontId="75" fillId="56" borderId="104" xfId="0" applyFont="1" applyFill="1" applyBorder="1" applyAlignment="1">
      <alignment horizontal="center" vertical="center" wrapText="1"/>
    </xf>
    <xf numFmtId="0" fontId="75" fillId="56" borderId="113" xfId="0" applyFont="1" applyFill="1" applyBorder="1" applyAlignment="1">
      <alignment horizontal="center" vertical="center" wrapText="1"/>
    </xf>
    <xf numFmtId="0" fontId="75" fillId="56" borderId="105" xfId="0" applyFont="1" applyFill="1" applyBorder="1" applyAlignment="1">
      <alignment horizontal="center" vertical="center" wrapText="1"/>
    </xf>
    <xf numFmtId="2" fontId="5" fillId="57" borderId="21" xfId="344" applyNumberFormat="1" applyFill="1" applyBorder="1" applyAlignment="1">
      <alignment horizontal="center" vertical="center"/>
    </xf>
    <xf numFmtId="2" fontId="5" fillId="57" borderId="45" xfId="344" applyNumberFormat="1" applyFill="1" applyBorder="1" applyAlignment="1">
      <alignment horizontal="center" vertical="center"/>
    </xf>
    <xf numFmtId="2" fontId="5" fillId="57" borderId="46" xfId="344" applyNumberFormat="1" applyFill="1" applyBorder="1" applyAlignment="1">
      <alignment horizontal="center" vertical="center"/>
    </xf>
    <xf numFmtId="0" fontId="87" fillId="48" borderId="128" xfId="597" applyFont="1" applyFill="1" applyBorder="1" applyAlignment="1">
      <alignment horizontal="right" vertical="center"/>
    </xf>
    <xf numFmtId="0" fontId="87" fillId="48" borderId="45" xfId="597" applyFont="1" applyFill="1" applyBorder="1" applyAlignment="1">
      <alignment horizontal="right" vertical="center"/>
    </xf>
    <xf numFmtId="0" fontId="87" fillId="48" borderId="46" xfId="597" applyFont="1" applyFill="1" applyBorder="1" applyAlignment="1">
      <alignment horizontal="right" vertical="center"/>
    </xf>
    <xf numFmtId="0" fontId="75" fillId="56" borderId="96" xfId="0" applyFont="1" applyFill="1" applyBorder="1" applyAlignment="1">
      <alignment horizontal="center" vertical="center" wrapText="1"/>
    </xf>
    <xf numFmtId="0" fontId="75" fillId="56" borderId="12" xfId="0" applyFont="1" applyFill="1" applyBorder="1" applyAlignment="1">
      <alignment horizontal="center" vertical="center" wrapText="1"/>
    </xf>
    <xf numFmtId="0" fontId="75" fillId="56" borderId="97" xfId="0" applyFont="1" applyFill="1" applyBorder="1" applyAlignment="1">
      <alignment horizontal="center" vertical="center" wrapText="1"/>
    </xf>
    <xf numFmtId="0" fontId="75" fillId="56" borderId="153" xfId="0" applyFont="1" applyFill="1" applyBorder="1" applyAlignment="1">
      <alignment horizontal="center" vertical="center" wrapText="1"/>
    </xf>
    <xf numFmtId="0" fontId="92" fillId="56" borderId="106" xfId="0" applyFont="1" applyFill="1" applyBorder="1" applyAlignment="1">
      <alignment horizontal="center" vertical="center" wrapText="1"/>
    </xf>
    <xf numFmtId="0" fontId="92" fillId="56" borderId="83" xfId="0" applyFont="1" applyFill="1" applyBorder="1" applyAlignment="1">
      <alignment horizontal="center" vertical="center" wrapText="1"/>
    </xf>
    <xf numFmtId="0" fontId="75" fillId="56" borderId="106" xfId="0" applyFont="1" applyFill="1" applyBorder="1" applyAlignment="1">
      <alignment horizontal="center" vertical="center" wrapText="1"/>
    </xf>
    <xf numFmtId="0" fontId="75" fillId="56" borderId="83" xfId="0" applyFont="1" applyFill="1" applyBorder="1" applyAlignment="1">
      <alignment horizontal="center" vertical="center" wrapText="1"/>
    </xf>
    <xf numFmtId="0" fontId="75" fillId="56" borderId="116" xfId="0" applyFont="1" applyFill="1" applyBorder="1" applyAlignment="1">
      <alignment horizontal="center" vertical="center" wrapText="1"/>
    </xf>
    <xf numFmtId="2" fontId="82" fillId="50" borderId="16" xfId="597" applyNumberFormat="1" applyFont="1" applyFill="1" applyBorder="1" applyAlignment="1">
      <alignment horizontal="center" vertical="center"/>
    </xf>
    <xf numFmtId="44" fontId="82" fillId="50" borderId="16" xfId="195" applyFont="1" applyFill="1" applyBorder="1" applyAlignment="1">
      <alignment horizontal="center" vertical="center"/>
    </xf>
    <xf numFmtId="2" fontId="82" fillId="57" borderId="26" xfId="597" applyNumberFormat="1" applyFont="1" applyFill="1" applyBorder="1" applyAlignment="1">
      <alignment horizontal="center" vertical="center"/>
    </xf>
    <xf numFmtId="44" fontId="82" fillId="57" borderId="19" xfId="195" applyFont="1" applyFill="1" applyBorder="1" applyAlignment="1">
      <alignment horizontal="center" vertical="center"/>
    </xf>
    <xf numFmtId="0" fontId="87" fillId="48" borderId="120" xfId="597" applyFont="1" applyFill="1" applyBorder="1" applyAlignment="1">
      <alignment horizontal="right" vertical="center"/>
    </xf>
    <xf numFmtId="0" fontId="87" fillId="48" borderId="55" xfId="597" applyFont="1" applyFill="1" applyBorder="1" applyAlignment="1">
      <alignment horizontal="right" vertical="center"/>
    </xf>
    <xf numFmtId="0" fontId="87" fillId="48" borderId="40" xfId="597" applyFont="1" applyFill="1" applyBorder="1" applyAlignment="1">
      <alignment horizontal="right" vertical="center"/>
    </xf>
    <xf numFmtId="44" fontId="75" fillId="49" borderId="119" xfId="0" applyNumberFormat="1" applyFont="1" applyFill="1" applyBorder="1" applyAlignment="1">
      <alignment horizontal="right" vertical="center" wrapText="1"/>
    </xf>
    <xf numFmtId="44" fontId="75" fillId="49" borderId="42" xfId="0" applyNumberFormat="1" applyFont="1" applyFill="1" applyBorder="1" applyAlignment="1">
      <alignment horizontal="right" vertical="center" wrapText="1"/>
    </xf>
    <xf numFmtId="44" fontId="75" fillId="49" borderId="43" xfId="0" applyNumberFormat="1" applyFont="1" applyFill="1" applyBorder="1" applyAlignment="1">
      <alignment horizontal="right" vertical="center" wrapText="1"/>
    </xf>
    <xf numFmtId="173" fontId="82" fillId="50" borderId="36" xfId="597" applyNumberFormat="1" applyFont="1" applyFill="1" applyBorder="1" applyAlignment="1">
      <alignment horizontal="center" vertical="center"/>
    </xf>
    <xf numFmtId="173" fontId="82" fillId="50" borderId="23" xfId="597" applyNumberFormat="1" applyFont="1" applyFill="1" applyBorder="1" applyAlignment="1">
      <alignment horizontal="center" vertical="center"/>
    </xf>
    <xf numFmtId="173" fontId="82" fillId="50" borderId="27" xfId="597" applyNumberFormat="1" applyFont="1" applyFill="1" applyBorder="1" applyAlignment="1">
      <alignment horizontal="center" vertical="center"/>
    </xf>
    <xf numFmtId="44" fontId="82" fillId="50" borderId="36" xfId="195" applyFont="1" applyFill="1" applyBorder="1" applyAlignment="1">
      <alignment horizontal="center" vertical="center"/>
    </xf>
    <xf numFmtId="44" fontId="82" fillId="50" borderId="27" xfId="195" applyFont="1" applyFill="1" applyBorder="1" applyAlignment="1">
      <alignment horizontal="center" vertical="center"/>
    </xf>
    <xf numFmtId="0" fontId="75" fillId="56" borderId="151" xfId="0" applyFont="1" applyFill="1" applyBorder="1" applyAlignment="1">
      <alignment horizontal="center" vertical="center" wrapText="1"/>
    </xf>
    <xf numFmtId="0" fontId="75" fillId="56" borderId="86" xfId="0" applyFont="1" applyFill="1" applyBorder="1" applyAlignment="1">
      <alignment horizontal="center" vertical="center" wrapText="1"/>
    </xf>
    <xf numFmtId="0" fontId="75" fillId="56" borderId="82" xfId="0" applyFont="1" applyFill="1" applyBorder="1" applyAlignment="1">
      <alignment horizontal="center" vertical="center" wrapText="1"/>
    </xf>
    <xf numFmtId="0" fontId="86" fillId="56" borderId="86" xfId="0" applyFont="1" applyFill="1" applyBorder="1" applyAlignment="1">
      <alignment horizontal="center" vertical="center" wrapText="1"/>
    </xf>
    <xf numFmtId="0" fontId="86" fillId="56" borderId="82" xfId="0" applyFont="1" applyFill="1" applyBorder="1" applyAlignment="1">
      <alignment horizontal="center" vertical="center" wrapText="1"/>
    </xf>
    <xf numFmtId="0" fontId="75" fillId="56" borderId="98" xfId="0" applyFont="1" applyFill="1" applyBorder="1" applyAlignment="1">
      <alignment horizontal="center" vertical="center" wrapText="1"/>
    </xf>
    <xf numFmtId="0" fontId="75" fillId="56" borderId="90" xfId="0" applyFont="1" applyFill="1" applyBorder="1" applyAlignment="1">
      <alignment horizontal="center" vertical="center" wrapText="1"/>
    </xf>
    <xf numFmtId="0" fontId="75" fillId="56" borderId="99" xfId="0" applyFont="1" applyFill="1" applyBorder="1" applyAlignment="1">
      <alignment horizontal="center" vertical="center" wrapText="1"/>
    </xf>
    <xf numFmtId="44" fontId="75" fillId="49" borderId="119" xfId="0" applyNumberFormat="1" applyFont="1" applyFill="1" applyBorder="1" applyAlignment="1">
      <alignment horizontal="left" vertical="center" wrapText="1"/>
    </xf>
    <xf numFmtId="44" fontId="75" fillId="49" borderId="42" xfId="0" applyNumberFormat="1" applyFont="1" applyFill="1" applyBorder="1" applyAlignment="1">
      <alignment horizontal="left" vertical="center" wrapText="1"/>
    </xf>
    <xf numFmtId="44" fontId="75" fillId="49" borderId="43" xfId="0" applyNumberFormat="1" applyFont="1" applyFill="1" applyBorder="1" applyAlignment="1">
      <alignment horizontal="left" vertical="center" wrapText="1"/>
    </xf>
    <xf numFmtId="0" fontId="75" fillId="56" borderId="157" xfId="0" applyFont="1" applyFill="1" applyBorder="1" applyAlignment="1">
      <alignment horizontal="left" vertical="center" wrapText="1"/>
    </xf>
    <xf numFmtId="0" fontId="75" fillId="56" borderId="8" xfId="0" applyFont="1" applyFill="1" applyBorder="1" applyAlignment="1">
      <alignment horizontal="left" vertical="center" wrapText="1"/>
    </xf>
    <xf numFmtId="0" fontId="75" fillId="56" borderId="159" xfId="0" applyFont="1" applyFill="1" applyBorder="1" applyAlignment="1">
      <alignment horizontal="left" vertical="center" wrapText="1"/>
    </xf>
    <xf numFmtId="0" fontId="75" fillId="56" borderId="170" xfId="0" applyFont="1" applyFill="1" applyBorder="1" applyAlignment="1">
      <alignment horizontal="center" vertical="center" wrapText="1"/>
    </xf>
    <xf numFmtId="0" fontId="75" fillId="56" borderId="154" xfId="0" applyFont="1" applyFill="1" applyBorder="1" applyAlignment="1">
      <alignment horizontal="center" vertical="center" wrapText="1"/>
    </xf>
    <xf numFmtId="196" fontId="5" fillId="50" borderId="28" xfId="344" applyNumberFormat="1" applyFill="1" applyBorder="1" applyAlignment="1">
      <alignment horizontal="center" vertical="center" wrapText="1"/>
    </xf>
    <xf numFmtId="196" fontId="5" fillId="50" borderId="80" xfId="344" applyNumberFormat="1" applyFill="1" applyBorder="1" applyAlignment="1">
      <alignment horizontal="center" vertical="center" wrapText="1"/>
    </xf>
    <xf numFmtId="44" fontId="82" fillId="50" borderId="19" xfId="195" applyFont="1" applyFill="1" applyBorder="1" applyAlignment="1">
      <alignment horizontal="center" vertical="center"/>
    </xf>
    <xf numFmtId="44" fontId="75" fillId="49" borderId="119" xfId="292" applyNumberFormat="1" applyFont="1" applyFill="1" applyBorder="1" applyAlignment="1">
      <alignment horizontal="left" vertical="center" wrapText="1"/>
    </xf>
    <xf numFmtId="44" fontId="75" fillId="49" borderId="42" xfId="292" applyNumberFormat="1" applyFont="1" applyFill="1" applyBorder="1" applyAlignment="1">
      <alignment horizontal="left" vertical="center" wrapText="1"/>
    </xf>
    <xf numFmtId="44" fontId="75" fillId="49" borderId="43" xfId="292" applyNumberFormat="1" applyFont="1" applyFill="1" applyBorder="1" applyAlignment="1">
      <alignment horizontal="left" vertical="center" wrapText="1"/>
    </xf>
    <xf numFmtId="2" fontId="82" fillId="50" borderId="16" xfId="993" applyNumberFormat="1" applyFont="1" applyFill="1" applyBorder="1" applyAlignment="1">
      <alignment horizontal="center" vertical="center"/>
    </xf>
    <xf numFmtId="44" fontId="82" fillId="50" borderId="16" xfId="203" applyFont="1" applyFill="1" applyBorder="1" applyAlignment="1">
      <alignment horizontal="center" vertical="center"/>
    </xf>
    <xf numFmtId="0" fontId="87" fillId="48" borderId="120" xfId="993" applyFont="1" applyFill="1" applyBorder="1" applyAlignment="1">
      <alignment horizontal="right" vertical="center"/>
    </xf>
    <xf numFmtId="0" fontId="87" fillId="48" borderId="55" xfId="993" applyFont="1" applyFill="1" applyBorder="1" applyAlignment="1">
      <alignment horizontal="right" vertical="center"/>
    </xf>
    <xf numFmtId="0" fontId="87" fillId="48" borderId="40" xfId="993" applyFont="1" applyFill="1" applyBorder="1" applyAlignment="1">
      <alignment horizontal="right" vertical="center"/>
    </xf>
    <xf numFmtId="0" fontId="75" fillId="56" borderId="157" xfId="292" applyFont="1" applyFill="1" applyBorder="1" applyAlignment="1">
      <alignment horizontal="left" vertical="center" wrapText="1"/>
    </xf>
    <xf numFmtId="0" fontId="75" fillId="56" borderId="8" xfId="292" applyFont="1" applyFill="1" applyBorder="1" applyAlignment="1">
      <alignment horizontal="left" vertical="center" wrapText="1"/>
    </xf>
    <xf numFmtId="0" fontId="75" fillId="56" borderId="159" xfId="292" applyFont="1" applyFill="1" applyBorder="1" applyAlignment="1">
      <alignment horizontal="left" vertical="center" wrapText="1"/>
    </xf>
    <xf numFmtId="173" fontId="82" fillId="50" borderId="16" xfId="993" applyNumberFormat="1" applyFont="1" applyFill="1" applyBorder="1" applyAlignment="1">
      <alignment horizontal="center" vertical="center"/>
    </xf>
    <xf numFmtId="0" fontId="87" fillId="48" borderId="60" xfId="993" applyFont="1" applyFill="1" applyBorder="1" applyAlignment="1">
      <alignment horizontal="right" vertical="center"/>
    </xf>
    <xf numFmtId="0" fontId="87" fillId="48" borderId="16" xfId="993" applyFont="1" applyFill="1" applyBorder="1" applyAlignment="1">
      <alignment horizontal="right" vertical="center"/>
    </xf>
    <xf numFmtId="0" fontId="75" fillId="56" borderId="89" xfId="292" applyFont="1" applyFill="1" applyBorder="1" applyAlignment="1">
      <alignment horizontal="center" vertical="center" wrapText="1"/>
    </xf>
    <xf numFmtId="0" fontId="75" fillId="56" borderId="0" xfId="292" applyFont="1" applyFill="1" applyAlignment="1">
      <alignment horizontal="center" vertical="center" wrapText="1"/>
    </xf>
    <xf numFmtId="0" fontId="75" fillId="56" borderId="110" xfId="292" applyFont="1" applyFill="1" applyBorder="1" applyAlignment="1">
      <alignment horizontal="center" vertical="center" wrapText="1"/>
    </xf>
    <xf numFmtId="0" fontId="75" fillId="56" borderId="86" xfId="292" applyFont="1" applyFill="1" applyBorder="1" applyAlignment="1">
      <alignment horizontal="center" vertical="center" wrapText="1"/>
    </xf>
    <xf numFmtId="0" fontId="75" fillId="56" borderId="82" xfId="292" applyFont="1" applyFill="1" applyBorder="1" applyAlignment="1">
      <alignment horizontal="center" vertical="center" wrapText="1"/>
    </xf>
    <xf numFmtId="0" fontId="86" fillId="56" borderId="86" xfId="292" applyFont="1" applyFill="1" applyBorder="1" applyAlignment="1">
      <alignment horizontal="center" vertical="center" wrapText="1"/>
    </xf>
    <xf numFmtId="0" fontId="86" fillId="56" borderId="82" xfId="292" applyFont="1" applyFill="1" applyBorder="1" applyAlignment="1">
      <alignment horizontal="center" vertical="center" wrapText="1"/>
    </xf>
    <xf numFmtId="0" fontId="75" fillId="56" borderId="165" xfId="292" applyFont="1" applyFill="1" applyBorder="1" applyAlignment="1">
      <alignment horizontal="center" vertical="center" wrapText="1"/>
    </xf>
    <xf numFmtId="0" fontId="75" fillId="56" borderId="151" xfId="292" applyFont="1" applyFill="1" applyBorder="1" applyAlignment="1">
      <alignment horizontal="center" vertical="center" wrapText="1"/>
    </xf>
    <xf numFmtId="0" fontId="86" fillId="56" borderId="106" xfId="292" applyFont="1" applyFill="1" applyBorder="1" applyAlignment="1">
      <alignment horizontal="center" vertical="center" wrapText="1"/>
    </xf>
    <xf numFmtId="0" fontId="86" fillId="56" borderId="83" xfId="292" applyFont="1" applyFill="1" applyBorder="1" applyAlignment="1">
      <alignment horizontal="center" vertical="center" wrapText="1"/>
    </xf>
    <xf numFmtId="0" fontId="75" fillId="56" borderId="170" xfId="292" applyFont="1" applyFill="1" applyBorder="1" applyAlignment="1">
      <alignment horizontal="center" vertical="center" wrapText="1"/>
    </xf>
    <xf numFmtId="0" fontId="75" fillId="56" borderId="154" xfId="292" applyFont="1" applyFill="1" applyBorder="1" applyAlignment="1">
      <alignment horizontal="center" vertical="center" wrapText="1"/>
    </xf>
    <xf numFmtId="0" fontId="75" fillId="56" borderId="104" xfId="292" applyFont="1" applyFill="1" applyBorder="1" applyAlignment="1">
      <alignment horizontal="center" vertical="center" wrapText="1"/>
    </xf>
    <xf numFmtId="0" fontId="75" fillId="56" borderId="105" xfId="292" applyFont="1" applyFill="1" applyBorder="1" applyAlignment="1">
      <alignment horizontal="center" vertical="center" wrapText="1"/>
    </xf>
    <xf numFmtId="173" fontId="5" fillId="50" borderId="24" xfId="344" applyNumberFormat="1" applyFill="1" applyBorder="1" applyAlignment="1">
      <alignment horizontal="center" vertical="center"/>
    </xf>
    <xf numFmtId="0" fontId="75" fillId="56" borderId="98" xfId="292" applyFont="1" applyFill="1" applyBorder="1" applyAlignment="1">
      <alignment horizontal="center" vertical="center" wrapText="1"/>
    </xf>
    <xf numFmtId="0" fontId="75" fillId="56" borderId="90" xfId="292" applyFont="1" applyFill="1" applyBorder="1" applyAlignment="1">
      <alignment horizontal="center" vertical="center" wrapText="1"/>
    </xf>
    <xf numFmtId="0" fontId="75" fillId="56" borderId="99" xfId="292" applyFont="1" applyFill="1" applyBorder="1" applyAlignment="1">
      <alignment horizontal="center" vertical="center" wrapText="1"/>
    </xf>
    <xf numFmtId="44" fontId="82" fillId="50" borderId="19" xfId="203" applyFont="1" applyFill="1" applyBorder="1" applyAlignment="1">
      <alignment horizontal="center" vertical="center"/>
    </xf>
    <xf numFmtId="44" fontId="75" fillId="49" borderId="119" xfId="292" applyNumberFormat="1" applyFont="1" applyFill="1" applyBorder="1" applyAlignment="1">
      <alignment horizontal="right" vertical="center" wrapText="1"/>
    </xf>
    <xf numFmtId="44" fontId="75" fillId="49" borderId="42" xfId="292" applyNumberFormat="1" applyFont="1" applyFill="1" applyBorder="1" applyAlignment="1">
      <alignment horizontal="right" vertical="center" wrapText="1"/>
    </xf>
    <xf numFmtId="44" fontId="75" fillId="49" borderId="43" xfId="292" applyNumberFormat="1" applyFont="1" applyFill="1" applyBorder="1" applyAlignment="1">
      <alignment horizontal="right" vertical="center" wrapText="1"/>
    </xf>
    <xf numFmtId="2" fontId="5" fillId="57" borderId="16" xfId="344" applyNumberFormat="1" applyFill="1" applyBorder="1" applyAlignment="1">
      <alignment horizontal="center" vertical="center"/>
    </xf>
    <xf numFmtId="0" fontId="75" fillId="56" borderId="60" xfId="292" applyFont="1" applyFill="1" applyBorder="1" applyAlignment="1">
      <alignment horizontal="center" vertical="center" wrapText="1"/>
    </xf>
    <xf numFmtId="0" fontId="86" fillId="56" borderId="16" xfId="292" applyFont="1" applyFill="1" applyBorder="1" applyAlignment="1">
      <alignment horizontal="center" vertical="center" wrapText="1"/>
    </xf>
    <xf numFmtId="0" fontId="75" fillId="56" borderId="16" xfId="292" applyFont="1" applyFill="1" applyBorder="1" applyAlignment="1">
      <alignment horizontal="center" vertical="center" wrapText="1"/>
    </xf>
    <xf numFmtId="0" fontId="74" fillId="50" borderId="119" xfId="993" applyFont="1" applyFill="1" applyBorder="1" applyAlignment="1">
      <alignment horizontal="left" vertical="center"/>
    </xf>
    <xf numFmtId="0" fontId="74" fillId="50" borderId="42" xfId="993" applyFont="1" applyFill="1" applyBorder="1" applyAlignment="1">
      <alignment horizontal="left" vertical="center"/>
    </xf>
    <xf numFmtId="0" fontId="74" fillId="50" borderId="35" xfId="993" applyFont="1" applyFill="1" applyBorder="1" applyAlignment="1">
      <alignment horizontal="left" vertical="center"/>
    </xf>
    <xf numFmtId="44" fontId="75" fillId="49" borderId="160" xfId="292" applyNumberFormat="1" applyFont="1" applyFill="1" applyBorder="1" applyAlignment="1">
      <alignment horizontal="center" vertical="center" wrapText="1"/>
    </xf>
    <xf numFmtId="44" fontId="75" fillId="49" borderId="54" xfId="292" applyNumberFormat="1" applyFont="1" applyFill="1" applyBorder="1" applyAlignment="1">
      <alignment horizontal="center" vertical="center" wrapText="1"/>
    </xf>
    <xf numFmtId="44" fontId="6" fillId="48" borderId="52" xfId="203" applyFont="1" applyFill="1" applyBorder="1" applyAlignment="1">
      <alignment horizontal="left" vertical="center"/>
    </xf>
    <xf numFmtId="44" fontId="6" fillId="48" borderId="53" xfId="203" applyFont="1" applyFill="1" applyBorder="1" applyAlignment="1">
      <alignment horizontal="left" vertical="center"/>
    </xf>
    <xf numFmtId="44" fontId="6" fillId="48" borderId="161" xfId="203" applyFont="1" applyFill="1" applyBorder="1" applyAlignment="1">
      <alignment horizontal="left" vertical="center"/>
    </xf>
    <xf numFmtId="0" fontId="87" fillId="57" borderId="16" xfId="993" applyFont="1" applyFill="1" applyBorder="1" applyAlignment="1">
      <alignment horizontal="center" vertical="center"/>
    </xf>
    <xf numFmtId="0" fontId="87" fillId="57" borderId="57" xfId="993" applyFont="1" applyFill="1" applyBorder="1" applyAlignment="1">
      <alignment horizontal="center" vertical="center"/>
    </xf>
    <xf numFmtId="173" fontId="82" fillId="50" borderId="21" xfId="993" applyNumberFormat="1" applyFont="1" applyFill="1" applyBorder="1" applyAlignment="1">
      <alignment horizontal="center" vertical="center"/>
    </xf>
    <xf numFmtId="173" fontId="82" fillId="50" borderId="45" xfId="993" applyNumberFormat="1" applyFont="1" applyFill="1" applyBorder="1" applyAlignment="1">
      <alignment horizontal="center" vertical="center"/>
    </xf>
    <xf numFmtId="173" fontId="82" fillId="50" borderId="46" xfId="993" applyNumberFormat="1" applyFont="1" applyFill="1" applyBorder="1" applyAlignment="1">
      <alignment horizontal="center" vertical="center"/>
    </xf>
    <xf numFmtId="44" fontId="82" fillId="50" borderId="21" xfId="203" applyFont="1" applyFill="1" applyBorder="1" applyAlignment="1">
      <alignment horizontal="center" vertical="center"/>
    </xf>
    <xf numFmtId="44" fontId="82" fillId="50" borderId="46" xfId="203" applyFont="1" applyFill="1" applyBorder="1" applyAlignment="1">
      <alignment horizontal="center" vertical="center"/>
    </xf>
    <xf numFmtId="0" fontId="75" fillId="56" borderId="57" xfId="292" applyFont="1" applyFill="1" applyBorder="1" applyAlignment="1">
      <alignment horizontal="center" vertical="center" wrapText="1"/>
    </xf>
    <xf numFmtId="2" fontId="82" fillId="57" borderId="21" xfId="993" applyNumberFormat="1" applyFont="1" applyFill="1" applyBorder="1" applyAlignment="1">
      <alignment horizontal="center" vertical="center"/>
    </xf>
    <xf numFmtId="2" fontId="82" fillId="57" borderId="45" xfId="993" applyNumberFormat="1" applyFont="1" applyFill="1" applyBorder="1" applyAlignment="1">
      <alignment horizontal="center" vertical="center"/>
    </xf>
    <xf numFmtId="2" fontId="82" fillId="57" borderId="46" xfId="993" applyNumberFormat="1" applyFont="1" applyFill="1" applyBorder="1" applyAlignment="1">
      <alignment horizontal="center" vertical="center"/>
    </xf>
    <xf numFmtId="44" fontId="82" fillId="57" borderId="21" xfId="203" applyFont="1" applyFill="1" applyBorder="1" applyAlignment="1">
      <alignment horizontal="center" vertical="center"/>
    </xf>
    <xf numFmtId="44" fontId="82" fillId="57" borderId="46" xfId="203" applyFont="1" applyFill="1" applyBorder="1" applyAlignment="1">
      <alignment horizontal="center" vertical="center"/>
    </xf>
    <xf numFmtId="0" fontId="75" fillId="56" borderId="96" xfId="292" applyFont="1" applyFill="1" applyBorder="1" applyAlignment="1">
      <alignment horizontal="center" vertical="center" wrapText="1"/>
    </xf>
    <xf numFmtId="0" fontId="75" fillId="56" borderId="12" xfId="292" applyFont="1" applyFill="1" applyBorder="1" applyAlignment="1">
      <alignment horizontal="center" vertical="center" wrapText="1"/>
    </xf>
    <xf numFmtId="0" fontId="75" fillId="56" borderId="97" xfId="292" applyFont="1" applyFill="1" applyBorder="1" applyAlignment="1">
      <alignment horizontal="center" vertical="center" wrapText="1"/>
    </xf>
    <xf numFmtId="0" fontId="75" fillId="56" borderId="170" xfId="343" applyFont="1" applyFill="1" applyBorder="1" applyAlignment="1">
      <alignment horizontal="center" vertical="center" wrapText="1"/>
    </xf>
    <xf numFmtId="0" fontId="75" fillId="56" borderId="154" xfId="343" applyFont="1" applyFill="1" applyBorder="1" applyAlignment="1">
      <alignment horizontal="center" vertical="center" wrapText="1"/>
    </xf>
    <xf numFmtId="0" fontId="75" fillId="56" borderId="104" xfId="343" applyFont="1" applyFill="1" applyBorder="1" applyAlignment="1">
      <alignment horizontal="center" vertical="center" wrapText="1"/>
    </xf>
    <xf numFmtId="0" fontId="75" fillId="56" borderId="105" xfId="343" applyFont="1" applyFill="1" applyBorder="1" applyAlignment="1">
      <alignment horizontal="center" vertical="center" wrapText="1"/>
    </xf>
    <xf numFmtId="196" fontId="5" fillId="50" borderId="16" xfId="344" applyNumberFormat="1" applyFill="1" applyBorder="1" applyAlignment="1">
      <alignment horizontal="center" vertical="center" wrapText="1"/>
    </xf>
    <xf numFmtId="168" fontId="82" fillId="50" borderId="16" xfId="232" applyFont="1" applyFill="1" applyBorder="1" applyAlignment="1">
      <alignment horizontal="center" vertical="center"/>
    </xf>
    <xf numFmtId="1" fontId="82" fillId="50" borderId="16" xfId="995" applyNumberFormat="1" applyFont="1" applyFill="1" applyBorder="1" applyAlignment="1">
      <alignment horizontal="center" vertical="center"/>
    </xf>
    <xf numFmtId="0" fontId="87" fillId="48" borderId="120" xfId="995" applyFont="1" applyFill="1" applyBorder="1" applyAlignment="1">
      <alignment horizontal="right" vertical="center"/>
    </xf>
    <xf numFmtId="0" fontId="87" fillId="48" borderId="55" xfId="995" applyFont="1" applyFill="1" applyBorder="1" applyAlignment="1">
      <alignment horizontal="right" vertical="center"/>
    </xf>
    <xf numFmtId="0" fontId="87" fillId="48" borderId="40" xfId="995" applyFont="1" applyFill="1" applyBorder="1" applyAlignment="1">
      <alignment horizontal="right" vertical="center"/>
    </xf>
    <xf numFmtId="44" fontId="75" fillId="49" borderId="119" xfId="343" applyNumberFormat="1" applyFont="1" applyFill="1" applyBorder="1" applyAlignment="1">
      <alignment horizontal="left" vertical="center" wrapText="1"/>
    </xf>
    <xf numFmtId="44" fontId="75" fillId="49" borderId="42" xfId="343" applyNumberFormat="1" applyFont="1" applyFill="1" applyBorder="1" applyAlignment="1">
      <alignment horizontal="left" vertical="center" wrapText="1"/>
    </xf>
    <xf numFmtId="44" fontId="75" fillId="49" borderId="43" xfId="343" applyNumberFormat="1" applyFont="1" applyFill="1" applyBorder="1" applyAlignment="1">
      <alignment horizontal="left" vertical="center" wrapText="1"/>
    </xf>
    <xf numFmtId="0" fontId="75" fillId="56" borderId="165" xfId="343" applyFont="1" applyFill="1" applyBorder="1" applyAlignment="1">
      <alignment horizontal="center" vertical="center" wrapText="1"/>
    </xf>
    <xf numFmtId="0" fontId="75" fillId="56" borderId="151" xfId="343" applyFont="1" applyFill="1" applyBorder="1" applyAlignment="1">
      <alignment horizontal="center" vertical="center" wrapText="1"/>
    </xf>
    <xf numFmtId="0" fontId="75" fillId="56" borderId="108" xfId="343" applyFont="1" applyFill="1" applyBorder="1" applyAlignment="1">
      <alignment horizontal="center" vertical="center" wrapText="1"/>
    </xf>
    <xf numFmtId="0" fontId="75" fillId="56" borderId="83" xfId="343" applyFont="1" applyFill="1" applyBorder="1" applyAlignment="1">
      <alignment horizontal="center" vertical="center" wrapText="1"/>
    </xf>
    <xf numFmtId="0" fontId="75" fillId="56" borderId="86" xfId="343" applyFont="1" applyFill="1" applyBorder="1" applyAlignment="1">
      <alignment horizontal="center" vertical="center" wrapText="1"/>
    </xf>
    <xf numFmtId="0" fontId="75" fillId="56" borderId="82" xfId="343" applyFont="1" applyFill="1" applyBorder="1" applyAlignment="1">
      <alignment horizontal="center" vertical="center" wrapText="1"/>
    </xf>
    <xf numFmtId="0" fontId="90" fillId="56" borderId="86" xfId="343" applyFont="1" applyFill="1" applyBorder="1" applyAlignment="1">
      <alignment horizontal="center" vertical="center" wrapText="1"/>
    </xf>
    <xf numFmtId="0" fontId="90" fillId="56" borderId="82" xfId="343" applyFont="1" applyFill="1" applyBorder="1" applyAlignment="1">
      <alignment horizontal="center" vertical="center" wrapText="1"/>
    </xf>
    <xf numFmtId="0" fontId="75" fillId="56" borderId="98" xfId="343" applyFont="1" applyFill="1" applyBorder="1" applyAlignment="1">
      <alignment horizontal="center" vertical="center" wrapText="1"/>
    </xf>
    <xf numFmtId="0" fontId="75" fillId="56" borderId="90" xfId="343" applyFont="1" applyFill="1" applyBorder="1" applyAlignment="1">
      <alignment horizontal="center" vertical="center" wrapText="1"/>
    </xf>
    <xf numFmtId="0" fontId="75" fillId="56" borderId="99" xfId="343" applyFont="1" applyFill="1" applyBorder="1" applyAlignment="1">
      <alignment horizontal="center" vertical="center" wrapText="1"/>
    </xf>
    <xf numFmtId="0" fontId="5" fillId="50" borderId="16" xfId="343" applyFill="1" applyBorder="1" applyAlignment="1">
      <alignment horizontal="center" vertical="center"/>
    </xf>
    <xf numFmtId="44" fontId="5" fillId="50" borderId="16" xfId="195" applyFont="1" applyFill="1" applyBorder="1" applyAlignment="1">
      <alignment horizontal="center" vertical="center"/>
    </xf>
    <xf numFmtId="168" fontId="5" fillId="50" borderId="16" xfId="232" applyFont="1" applyFill="1" applyBorder="1" applyAlignment="1">
      <alignment horizontal="center" vertical="center"/>
    </xf>
    <xf numFmtId="0" fontId="75" fillId="56" borderId="89" xfId="343" applyFont="1" applyFill="1" applyBorder="1" applyAlignment="1">
      <alignment horizontal="center" vertical="center" wrapText="1"/>
    </xf>
    <xf numFmtId="0" fontId="75" fillId="56" borderId="0" xfId="343" applyFont="1" applyFill="1" applyAlignment="1">
      <alignment horizontal="center" vertical="center" wrapText="1"/>
    </xf>
    <xf numFmtId="0" fontId="75" fillId="56" borderId="110" xfId="343" applyFont="1" applyFill="1" applyBorder="1" applyAlignment="1">
      <alignment horizontal="center" vertical="center" wrapText="1"/>
    </xf>
    <xf numFmtId="168" fontId="5" fillId="50" borderId="21" xfId="232" applyFont="1" applyFill="1" applyBorder="1" applyAlignment="1">
      <alignment horizontal="center" vertical="center"/>
    </xf>
    <xf numFmtId="168" fontId="5" fillId="50" borderId="46" xfId="232" applyFont="1" applyFill="1" applyBorder="1" applyAlignment="1">
      <alignment horizontal="center" vertical="center"/>
    </xf>
    <xf numFmtId="44" fontId="75" fillId="49" borderId="119" xfId="343" applyNumberFormat="1" applyFont="1" applyFill="1" applyBorder="1" applyAlignment="1">
      <alignment horizontal="right" vertical="center" wrapText="1"/>
    </xf>
    <xf numFmtId="44" fontId="75" fillId="49" borderId="42" xfId="343" applyNumberFormat="1" applyFont="1" applyFill="1" applyBorder="1" applyAlignment="1">
      <alignment horizontal="right" vertical="center" wrapText="1"/>
    </xf>
    <xf numFmtId="44" fontId="75" fillId="49" borderId="43" xfId="343" applyNumberFormat="1" applyFont="1" applyFill="1" applyBorder="1" applyAlignment="1">
      <alignment horizontal="right" vertical="center" wrapText="1"/>
    </xf>
    <xf numFmtId="2" fontId="82" fillId="50" borderId="16" xfId="995" applyNumberFormat="1" applyFont="1" applyFill="1" applyBorder="1" applyAlignment="1">
      <alignment horizontal="center" vertical="center"/>
    </xf>
    <xf numFmtId="0" fontId="75" fillId="56" borderId="96" xfId="343" applyFont="1" applyFill="1" applyBorder="1" applyAlignment="1">
      <alignment horizontal="center" vertical="center" wrapText="1"/>
    </xf>
    <xf numFmtId="0" fontId="75" fillId="56" borderId="12" xfId="343" applyFont="1" applyFill="1" applyBorder="1" applyAlignment="1">
      <alignment horizontal="center" vertical="center" wrapText="1"/>
    </xf>
    <xf numFmtId="0" fontId="75" fillId="56" borderId="97" xfId="343" applyFont="1" applyFill="1" applyBorder="1" applyAlignment="1">
      <alignment horizontal="center" vertical="center" wrapText="1"/>
    </xf>
    <xf numFmtId="0" fontId="75" fillId="56" borderId="166" xfId="343" applyFont="1" applyFill="1" applyBorder="1" applyAlignment="1">
      <alignment horizontal="center" vertical="center" wrapText="1"/>
    </xf>
    <xf numFmtId="0" fontId="74" fillId="50" borderId="119" xfId="995" applyFont="1" applyFill="1" applyBorder="1" applyAlignment="1">
      <alignment horizontal="left" vertical="center"/>
    </xf>
    <xf numFmtId="0" fontId="74" fillId="50" borderId="42" xfId="995" applyFont="1" applyFill="1" applyBorder="1" applyAlignment="1">
      <alignment horizontal="left" vertical="center"/>
    </xf>
    <xf numFmtId="0" fontId="74" fillId="50" borderId="35" xfId="995" applyFont="1" applyFill="1" applyBorder="1" applyAlignment="1">
      <alignment horizontal="left" vertical="center"/>
    </xf>
    <xf numFmtId="44" fontId="75" fillId="49" borderId="160" xfId="343" applyNumberFormat="1" applyFont="1" applyFill="1" applyBorder="1" applyAlignment="1">
      <alignment horizontal="center" vertical="center" wrapText="1"/>
    </xf>
    <xf numFmtId="44" fontId="75" fillId="49" borderId="54" xfId="343" applyNumberFormat="1" applyFont="1" applyFill="1" applyBorder="1" applyAlignment="1">
      <alignment horizontal="center" vertical="center" wrapText="1"/>
    </xf>
    <xf numFmtId="168" fontId="6" fillId="48" borderId="52" xfId="232" applyFont="1" applyFill="1" applyBorder="1" applyAlignment="1">
      <alignment horizontal="left" vertical="center"/>
    </xf>
    <xf numFmtId="168" fontId="6" fillId="48" borderId="53" xfId="232" applyFont="1" applyFill="1" applyBorder="1" applyAlignment="1">
      <alignment horizontal="left" vertical="center"/>
    </xf>
    <xf numFmtId="168" fontId="6" fillId="48" borderId="161" xfId="232" applyFont="1" applyFill="1" applyBorder="1" applyAlignment="1">
      <alignment horizontal="left" vertical="center"/>
    </xf>
    <xf numFmtId="0" fontId="87" fillId="57" borderId="17" xfId="995" applyFont="1" applyFill="1" applyBorder="1" applyAlignment="1">
      <alignment horizontal="center" vertical="center"/>
    </xf>
    <xf numFmtId="0" fontId="87" fillId="57" borderId="66" xfId="995" applyFont="1" applyFill="1" applyBorder="1" applyAlignment="1">
      <alignment horizontal="center" vertical="center"/>
    </xf>
    <xf numFmtId="0" fontId="75" fillId="56" borderId="166" xfId="0" applyFont="1" applyFill="1" applyBorder="1" applyAlignment="1">
      <alignment horizontal="center" vertical="center" wrapText="1"/>
    </xf>
    <xf numFmtId="0" fontId="74" fillId="50" borderId="119" xfId="996" applyFont="1" applyFill="1" applyBorder="1" applyAlignment="1">
      <alignment horizontal="left" vertical="center"/>
    </xf>
    <xf numFmtId="0" fontId="74" fillId="50" borderId="42" xfId="996" applyFont="1" applyFill="1" applyBorder="1" applyAlignment="1">
      <alignment horizontal="left" vertical="center"/>
    </xf>
    <xf numFmtId="0" fontId="74" fillId="50" borderId="35" xfId="996" applyFont="1" applyFill="1" applyBorder="1" applyAlignment="1">
      <alignment horizontal="left" vertical="center"/>
    </xf>
    <xf numFmtId="0" fontId="87" fillId="57" borderId="17" xfId="996" applyFont="1" applyFill="1" applyBorder="1" applyAlignment="1">
      <alignment horizontal="center" vertical="center"/>
    </xf>
    <xf numFmtId="0" fontId="87" fillId="57" borderId="66" xfId="996" applyFont="1" applyFill="1" applyBorder="1" applyAlignment="1">
      <alignment horizontal="center" vertical="center"/>
    </xf>
    <xf numFmtId="0" fontId="87" fillId="48" borderId="120" xfId="996" applyFont="1" applyFill="1" applyBorder="1" applyAlignment="1">
      <alignment horizontal="right" vertical="center"/>
    </xf>
    <xf numFmtId="0" fontId="87" fillId="48" borderId="55" xfId="996" applyFont="1" applyFill="1" applyBorder="1" applyAlignment="1">
      <alignment horizontal="right" vertical="center"/>
    </xf>
    <xf numFmtId="0" fontId="87" fillId="48" borderId="40" xfId="996" applyFont="1" applyFill="1" applyBorder="1" applyAlignment="1">
      <alignment horizontal="right" vertical="center"/>
    </xf>
    <xf numFmtId="0" fontId="75" fillId="56" borderId="89" xfId="0" applyFont="1" applyFill="1" applyBorder="1" applyAlignment="1">
      <alignment horizontal="center" vertical="center" wrapText="1"/>
    </xf>
    <xf numFmtId="0" fontId="75" fillId="56" borderId="0" xfId="0" applyFont="1" applyFill="1" applyAlignment="1">
      <alignment horizontal="center" vertical="center" wrapText="1"/>
    </xf>
    <xf numFmtId="0" fontId="75" fillId="56" borderId="110" xfId="0" applyFont="1" applyFill="1" applyBorder="1" applyAlignment="1">
      <alignment horizontal="center" vertical="center" wrapText="1"/>
    </xf>
    <xf numFmtId="2" fontId="82" fillId="50" borderId="16" xfId="996" applyNumberFormat="1" applyFont="1" applyFill="1" applyBorder="1" applyAlignment="1">
      <alignment horizontal="center" vertical="center"/>
    </xf>
    <xf numFmtId="0" fontId="82" fillId="50" borderId="16" xfId="996" applyFont="1" applyFill="1" applyBorder="1" applyAlignment="1">
      <alignment horizontal="center" vertical="center"/>
    </xf>
    <xf numFmtId="0" fontId="5" fillId="50" borderId="16" xfId="0" applyFont="1" applyFill="1" applyBorder="1" applyAlignment="1">
      <alignment horizontal="center" vertical="center" wrapText="1"/>
    </xf>
    <xf numFmtId="4" fontId="5" fillId="50" borderId="16" xfId="0" applyNumberFormat="1" applyFont="1" applyFill="1" applyBorder="1" applyAlignment="1">
      <alignment horizontal="center" vertical="center" wrapText="1"/>
    </xf>
    <xf numFmtId="4" fontId="82" fillId="50" borderId="16" xfId="996" applyNumberFormat="1" applyFont="1" applyFill="1" applyBorder="1" applyAlignment="1">
      <alignment horizontal="center" vertical="center"/>
    </xf>
    <xf numFmtId="2" fontId="82" fillId="57" borderId="16" xfId="996" applyNumberFormat="1" applyFont="1" applyFill="1" applyBorder="1" applyAlignment="1">
      <alignment horizontal="center" vertical="center"/>
    </xf>
    <xf numFmtId="44" fontId="82" fillId="57" borderId="16" xfId="203" applyFont="1" applyFill="1" applyBorder="1" applyAlignment="1">
      <alignment horizontal="center" vertical="center"/>
    </xf>
    <xf numFmtId="202" fontId="91" fillId="50" borderId="16" xfId="996" applyNumberFormat="1" applyFont="1" applyFill="1" applyBorder="1" applyAlignment="1">
      <alignment horizontal="center" vertical="center"/>
    </xf>
    <xf numFmtId="0" fontId="82" fillId="50" borderId="21" xfId="996" applyFont="1" applyFill="1" applyBorder="1" applyAlignment="1">
      <alignment horizontal="center" vertical="center"/>
    </xf>
    <xf numFmtId="0" fontId="82" fillId="50" borderId="45" xfId="996" applyFont="1" applyFill="1" applyBorder="1" applyAlignment="1">
      <alignment horizontal="center" vertical="center"/>
    </xf>
    <xf numFmtId="0" fontId="82" fillId="50" borderId="46" xfId="996" applyFont="1" applyFill="1" applyBorder="1" applyAlignment="1">
      <alignment horizontal="center" vertical="center"/>
    </xf>
    <xf numFmtId="0" fontId="86" fillId="56" borderId="106" xfId="0" applyFont="1" applyFill="1" applyBorder="1" applyAlignment="1">
      <alignment horizontal="center" vertical="center" wrapText="1"/>
    </xf>
    <xf numFmtId="0" fontId="86" fillId="56" borderId="83" xfId="0" applyFont="1" applyFill="1" applyBorder="1" applyAlignment="1">
      <alignment horizontal="center" vertical="center" wrapText="1"/>
    </xf>
    <xf numFmtId="0" fontId="74" fillId="50" borderId="72" xfId="996" applyFont="1" applyFill="1" applyBorder="1" applyAlignment="1">
      <alignment horizontal="left" vertical="center"/>
    </xf>
    <xf numFmtId="0" fontId="74" fillId="50" borderId="73" xfId="996" applyFont="1" applyFill="1" applyBorder="1" applyAlignment="1">
      <alignment horizontal="left" vertical="center"/>
    </xf>
    <xf numFmtId="0" fontId="74" fillId="50" borderId="74" xfId="996" applyFont="1" applyFill="1" applyBorder="1" applyAlignment="1">
      <alignment horizontal="left" vertical="center"/>
    </xf>
    <xf numFmtId="44" fontId="75" fillId="49" borderId="75" xfId="0" applyNumberFormat="1" applyFont="1" applyFill="1" applyBorder="1" applyAlignment="1">
      <alignment horizontal="center" vertical="center" wrapText="1"/>
    </xf>
    <xf numFmtId="44" fontId="6" fillId="48" borderId="76" xfId="203" applyFont="1" applyFill="1" applyBorder="1" applyAlignment="1">
      <alignment horizontal="left" vertical="center"/>
    </xf>
    <xf numFmtId="0" fontId="87" fillId="57" borderId="78" xfId="996" applyFont="1" applyFill="1" applyBorder="1" applyAlignment="1">
      <alignment horizontal="center" vertical="center"/>
    </xf>
    <xf numFmtId="0" fontId="75" fillId="56" borderId="118" xfId="0" applyFont="1" applyFill="1" applyBorder="1" applyAlignment="1">
      <alignment horizontal="center" vertical="center" wrapText="1"/>
    </xf>
    <xf numFmtId="0" fontId="75" fillId="56" borderId="93" xfId="0" applyFont="1" applyFill="1" applyBorder="1" applyAlignment="1">
      <alignment horizontal="center" vertical="center" wrapText="1"/>
    </xf>
    <xf numFmtId="0" fontId="75" fillId="56" borderId="117" xfId="0" applyFont="1" applyFill="1" applyBorder="1" applyAlignment="1">
      <alignment horizontal="center" vertical="center" wrapText="1"/>
    </xf>
    <xf numFmtId="0" fontId="87" fillId="48" borderId="67" xfId="996" applyFont="1" applyFill="1" applyBorder="1" applyAlignment="1">
      <alignment horizontal="right" vertical="center"/>
    </xf>
    <xf numFmtId="44" fontId="75" fillId="49" borderId="79" xfId="0" applyNumberFormat="1" applyFont="1" applyFill="1" applyBorder="1" applyAlignment="1">
      <alignment horizontal="right" vertical="center" wrapText="1"/>
    </xf>
    <xf numFmtId="173" fontId="82" fillId="50" borderId="16" xfId="996" applyNumberFormat="1" applyFont="1" applyFill="1" applyBorder="1" applyAlignment="1">
      <alignment horizontal="center" vertical="center"/>
    </xf>
    <xf numFmtId="3" fontId="5" fillId="50" borderId="16" xfId="0" applyNumberFormat="1" applyFont="1" applyFill="1" applyBorder="1" applyAlignment="1">
      <alignment horizontal="center" vertical="center" wrapText="1"/>
    </xf>
    <xf numFmtId="44" fontId="5" fillId="50" borderId="16" xfId="195" applyFont="1" applyFill="1" applyBorder="1" applyAlignment="1">
      <alignment horizontal="center" vertical="center" wrapText="1"/>
    </xf>
    <xf numFmtId="0" fontId="75" fillId="56" borderId="85" xfId="0" applyFont="1" applyFill="1" applyBorder="1" applyAlignment="1">
      <alignment horizontal="center" vertical="center" wrapText="1"/>
    </xf>
    <xf numFmtId="0" fontId="75" fillId="56" borderId="92" xfId="0" applyFont="1" applyFill="1" applyBorder="1" applyAlignment="1">
      <alignment horizontal="center" vertical="center" wrapText="1"/>
    </xf>
    <xf numFmtId="44" fontId="75" fillId="49" borderId="79" xfId="0" applyNumberFormat="1" applyFont="1" applyFill="1" applyBorder="1" applyAlignment="1">
      <alignment horizontal="left" vertical="center" wrapText="1"/>
    </xf>
    <xf numFmtId="0" fontId="75" fillId="56" borderId="102" xfId="0" applyFont="1" applyFill="1" applyBorder="1" applyAlignment="1">
      <alignment horizontal="center" vertical="center" wrapText="1"/>
    </xf>
    <xf numFmtId="0" fontId="75" fillId="56" borderId="103" xfId="0" applyFont="1" applyFill="1" applyBorder="1" applyAlignment="1">
      <alignment horizontal="center" vertical="center" wrapText="1"/>
    </xf>
    <xf numFmtId="196" fontId="8" fillId="50" borderId="16" xfId="344" applyNumberFormat="1" applyFont="1" applyFill="1" applyBorder="1" applyAlignment="1">
      <alignment horizontal="center" vertical="center" wrapText="1"/>
    </xf>
    <xf numFmtId="44" fontId="82" fillId="50" borderId="21" xfId="195" applyFont="1" applyFill="1" applyBorder="1" applyAlignment="1">
      <alignment horizontal="center" vertical="center"/>
    </xf>
    <xf numFmtId="44" fontId="82" fillId="50" borderId="46" xfId="195" applyFont="1" applyFill="1" applyBorder="1" applyAlignment="1">
      <alignment horizontal="center" vertical="center"/>
    </xf>
    <xf numFmtId="2" fontId="82" fillId="50" borderId="21" xfId="996" applyNumberFormat="1" applyFont="1" applyFill="1" applyBorder="1" applyAlignment="1">
      <alignment horizontal="center" vertical="center"/>
    </xf>
    <xf numFmtId="2" fontId="82" fillId="50" borderId="45" xfId="996" applyNumberFormat="1" applyFont="1" applyFill="1" applyBorder="1" applyAlignment="1">
      <alignment horizontal="center" vertical="center"/>
    </xf>
    <xf numFmtId="2" fontId="82" fillId="50" borderId="46" xfId="996" applyNumberFormat="1" applyFont="1" applyFill="1" applyBorder="1" applyAlignment="1">
      <alignment horizontal="center" vertical="center"/>
    </xf>
    <xf numFmtId="0" fontId="0" fillId="50" borderId="21" xfId="0" applyFill="1" applyBorder="1" applyAlignment="1">
      <alignment horizontal="center" vertical="center"/>
    </xf>
    <xf numFmtId="0" fontId="0" fillId="50" borderId="45" xfId="0" applyFill="1" applyBorder="1" applyAlignment="1">
      <alignment horizontal="center" vertical="center"/>
    </xf>
    <xf numFmtId="0" fontId="0" fillId="50" borderId="46" xfId="0" applyFill="1" applyBorder="1" applyAlignment="1">
      <alignment horizontal="center" vertical="center"/>
    </xf>
    <xf numFmtId="44" fontId="0" fillId="50" borderId="21" xfId="195" applyFont="1" applyFill="1" applyBorder="1" applyAlignment="1">
      <alignment horizontal="center" vertical="center"/>
    </xf>
    <xf numFmtId="44" fontId="0" fillId="50" borderId="46" xfId="195" applyFont="1" applyFill="1" applyBorder="1" applyAlignment="1">
      <alignment horizontal="center" vertical="center"/>
    </xf>
    <xf numFmtId="203" fontId="69" fillId="0" borderId="65" xfId="0" applyNumberFormat="1" applyFont="1" applyBorder="1" applyAlignment="1">
      <alignment horizontal="right" vertical="center"/>
    </xf>
    <xf numFmtId="203" fontId="69" fillId="0" borderId="64" xfId="0" applyNumberFormat="1" applyFont="1" applyBorder="1" applyAlignment="1">
      <alignment horizontal="right" vertical="center"/>
    </xf>
    <xf numFmtId="0" fontId="97" fillId="0" borderId="0" xfId="0" applyFont="1" applyAlignment="1">
      <alignment horizontal="right" vertical="center"/>
    </xf>
    <xf numFmtId="0" fontId="97" fillId="0" borderId="174" xfId="0" applyFont="1" applyBorder="1" applyAlignment="1">
      <alignment horizontal="right" vertical="center"/>
    </xf>
    <xf numFmtId="0" fontId="69" fillId="0" borderId="54" xfId="0" applyFont="1" applyBorder="1" applyAlignment="1">
      <alignment horizontal="center" vertical="center"/>
    </xf>
    <xf numFmtId="0" fontId="69" fillId="0" borderId="46" xfId="0" applyFont="1" applyBorder="1" applyAlignment="1">
      <alignment horizontal="center" vertical="center"/>
    </xf>
    <xf numFmtId="0" fontId="69" fillId="0" borderId="29" xfId="0" applyFont="1" applyBorder="1" applyAlignment="1">
      <alignment horizontal="center" vertical="center"/>
    </xf>
    <xf numFmtId="0" fontId="69" fillId="0" borderId="63" xfId="0" applyFont="1" applyBorder="1" applyAlignment="1">
      <alignment horizontal="center" vertical="center" wrapText="1"/>
    </xf>
    <xf numFmtId="0" fontId="69" fillId="0" borderId="16" xfId="0" applyFont="1" applyBorder="1" applyAlignment="1">
      <alignment horizontal="center" vertical="center" wrapText="1"/>
    </xf>
    <xf numFmtId="0" fontId="69" fillId="0" borderId="24" xfId="0" applyFont="1" applyBorder="1" applyAlignment="1">
      <alignment horizontal="center" vertical="center" wrapText="1"/>
    </xf>
    <xf numFmtId="196" fontId="69" fillId="0" borderId="63" xfId="0" applyNumberFormat="1" applyFont="1" applyBorder="1" applyAlignment="1">
      <alignment horizontal="center" vertical="center"/>
    </xf>
    <xf numFmtId="196" fontId="69" fillId="0" borderId="16" xfId="0" applyNumberFormat="1" applyFont="1" applyBorder="1" applyAlignment="1">
      <alignment horizontal="center" vertical="center"/>
    </xf>
    <xf numFmtId="196" fontId="69" fillId="0" borderId="24" xfId="0" applyNumberFormat="1" applyFont="1" applyBorder="1" applyAlignment="1">
      <alignment horizontal="center" vertical="center"/>
    </xf>
    <xf numFmtId="0" fontId="69" fillId="0" borderId="63" xfId="0" applyFont="1" applyBorder="1" applyAlignment="1">
      <alignment horizontal="center" vertical="center"/>
    </xf>
    <xf numFmtId="0" fontId="69" fillId="0" borderId="16" xfId="0" applyFont="1" applyBorder="1" applyAlignment="1">
      <alignment horizontal="center" vertical="center"/>
    </xf>
    <xf numFmtId="0" fontId="69" fillId="0" borderId="24" xfId="0" applyFont="1" applyBorder="1" applyAlignment="1">
      <alignment horizontal="center" vertical="center"/>
    </xf>
    <xf numFmtId="0" fontId="97" fillId="0" borderId="8" xfId="0" applyFont="1" applyBorder="1" applyAlignment="1">
      <alignment horizontal="right" vertical="center"/>
    </xf>
    <xf numFmtId="0" fontId="97" fillId="0" borderId="8" xfId="0" applyFont="1" applyBorder="1" applyAlignment="1">
      <alignment horizontal="left" vertical="center"/>
    </xf>
    <xf numFmtId="0" fontId="97" fillId="0" borderId="8" xfId="0" applyFont="1" applyBorder="1" applyAlignment="1">
      <alignment horizontal="center" vertical="center"/>
    </xf>
    <xf numFmtId="0" fontId="95" fillId="0" borderId="8" xfId="0" applyFont="1" applyBorder="1" applyAlignment="1">
      <alignment horizontal="left" vertical="center" wrapText="1"/>
    </xf>
    <xf numFmtId="0" fontId="96" fillId="0" borderId="8" xfId="0" applyFont="1" applyBorder="1" applyAlignment="1">
      <alignment horizontal="center" vertical="center"/>
    </xf>
    <xf numFmtId="0" fontId="69" fillId="0" borderId="121" xfId="0" applyFont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121" xfId="0" applyFont="1" applyBorder="1" applyAlignment="1">
      <alignment horizontal="center" vertical="center" wrapText="1"/>
    </xf>
    <xf numFmtId="0" fontId="69" fillId="0" borderId="0" xfId="0" applyFont="1" applyAlignment="1">
      <alignment horizontal="center" vertical="center" wrapText="1"/>
    </xf>
    <xf numFmtId="196" fontId="69" fillId="0" borderId="175" xfId="0" applyNumberFormat="1" applyFont="1" applyBorder="1" applyAlignment="1">
      <alignment horizontal="center" vertical="center"/>
    </xf>
    <xf numFmtId="196" fontId="69" fillId="0" borderId="30" xfId="0" applyNumberFormat="1" applyFont="1" applyBorder="1" applyAlignment="1">
      <alignment horizontal="center" vertical="center"/>
    </xf>
    <xf numFmtId="0" fontId="69" fillId="0" borderId="53" xfId="0" applyFont="1" applyBorder="1" applyAlignment="1">
      <alignment horizontal="center" vertical="center"/>
    </xf>
    <xf numFmtId="0" fontId="69" fillId="0" borderId="45" xfId="0" applyFont="1" applyBorder="1" applyAlignment="1">
      <alignment horizontal="center" vertical="center"/>
    </xf>
    <xf numFmtId="0" fontId="69" fillId="0" borderId="53" xfId="0" applyFont="1" applyBorder="1" applyAlignment="1">
      <alignment horizontal="center" vertical="center" wrapText="1"/>
    </xf>
    <xf numFmtId="0" fontId="69" fillId="0" borderId="45" xfId="0" applyFont="1" applyBorder="1" applyAlignment="1">
      <alignment horizontal="center" vertical="center" wrapText="1"/>
    </xf>
    <xf numFmtId="196" fontId="69" fillId="0" borderId="54" xfId="0" applyNumberFormat="1" applyFont="1" applyBorder="1" applyAlignment="1">
      <alignment horizontal="center" vertical="center"/>
    </xf>
    <xf numFmtId="196" fontId="69" fillId="0" borderId="46" xfId="0" applyNumberFormat="1" applyFont="1" applyBorder="1" applyAlignment="1">
      <alignment horizontal="center" vertical="center"/>
    </xf>
    <xf numFmtId="203" fontId="69" fillId="0" borderId="52" xfId="0" applyNumberFormat="1" applyFont="1" applyBorder="1" applyAlignment="1">
      <alignment horizontal="right" vertical="center"/>
    </xf>
    <xf numFmtId="203" fontId="69" fillId="0" borderId="21" xfId="0" applyNumberFormat="1" applyFont="1" applyBorder="1" applyAlignment="1">
      <alignment horizontal="right" vertical="center"/>
    </xf>
    <xf numFmtId="0" fontId="69" fillId="0" borderId="18" xfId="0" applyFont="1" applyBorder="1" applyAlignment="1">
      <alignment horizontal="center" vertical="center"/>
    </xf>
    <xf numFmtId="0" fontId="69" fillId="0" borderId="18" xfId="0" applyFont="1" applyBorder="1" applyAlignment="1">
      <alignment horizontal="center" vertical="center" wrapText="1"/>
    </xf>
    <xf numFmtId="196" fontId="69" fillId="0" borderId="29" xfId="0" applyNumberFormat="1" applyFont="1" applyBorder="1" applyAlignment="1">
      <alignment horizontal="center" vertical="center"/>
    </xf>
    <xf numFmtId="203" fontId="69" fillId="0" borderId="1" xfId="0" applyNumberFormat="1" applyFont="1" applyBorder="1" applyAlignment="1">
      <alignment horizontal="right" vertical="center"/>
    </xf>
    <xf numFmtId="10" fontId="5" fillId="50" borderId="63" xfId="0" applyNumberFormat="1" applyFont="1" applyFill="1" applyBorder="1" applyAlignment="1">
      <alignment horizontal="left" vertical="center" wrapText="1"/>
    </xf>
    <xf numFmtId="4" fontId="5" fillId="50" borderId="63" xfId="0" applyNumberFormat="1" applyFont="1" applyFill="1" applyBorder="1" applyAlignment="1">
      <alignment horizontal="center" vertical="center"/>
    </xf>
    <xf numFmtId="10" fontId="5" fillId="50" borderId="63" xfId="0" applyNumberFormat="1" applyFont="1" applyFill="1" applyBorder="1" applyAlignment="1">
      <alignment horizontal="center" vertical="center"/>
    </xf>
    <xf numFmtId="4" fontId="5" fillId="50" borderId="63" xfId="650" quotePrefix="1" applyNumberFormat="1" applyFont="1" applyFill="1" applyBorder="1" applyAlignment="1">
      <alignment horizontal="center" vertical="center"/>
    </xf>
    <xf numFmtId="10" fontId="5" fillId="0" borderId="63" xfId="0" applyNumberFormat="1" applyFont="1" applyBorder="1" applyAlignment="1">
      <alignment horizontal="center" vertical="center"/>
    </xf>
    <xf numFmtId="4" fontId="5" fillId="50" borderId="16" xfId="650" quotePrefix="1" applyNumberFormat="1" applyFont="1" applyFill="1" applyBorder="1" applyAlignment="1">
      <alignment horizontal="center" vertical="center"/>
    </xf>
    <xf numFmtId="10" fontId="5" fillId="50" borderId="16" xfId="0" applyNumberFormat="1" applyFont="1" applyFill="1" applyBorder="1" applyAlignment="1">
      <alignment horizontal="left" vertical="center"/>
    </xf>
    <xf numFmtId="10" fontId="5" fillId="50" borderId="16" xfId="0" applyNumberFormat="1" applyFont="1" applyFill="1" applyBorder="1" applyAlignment="1">
      <alignment horizontal="center" vertical="center"/>
    </xf>
    <xf numFmtId="10" fontId="5" fillId="50" borderId="16" xfId="0" applyNumberFormat="1" applyFont="1" applyFill="1" applyBorder="1" applyAlignment="1">
      <alignment horizontal="left" vertical="center" wrapText="1"/>
    </xf>
    <xf numFmtId="3" fontId="5" fillId="50" borderId="16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10" fontId="5" fillId="0" borderId="16" xfId="0" applyNumberFormat="1" applyFont="1" applyBorder="1" applyAlignment="1">
      <alignment vertical="center"/>
    </xf>
    <xf numFmtId="10" fontId="5" fillId="0" borderId="16" xfId="0" applyNumberFormat="1" applyFont="1" applyBorder="1" applyAlignment="1">
      <alignment vertical="center" wrapText="1"/>
    </xf>
    <xf numFmtId="10" fontId="5" fillId="0" borderId="0" xfId="738" applyNumberFormat="1" applyFont="1" applyFill="1" applyAlignment="1">
      <alignment horizontal="right" vertical="center"/>
    </xf>
  </cellXfs>
  <cellStyles count="997">
    <cellStyle name="20% - Accent1" xfId="1" xr:uid="{00000000-0005-0000-0000-000000000000}"/>
    <cellStyle name="20% - Accent1 2" xfId="2" xr:uid="{00000000-0005-0000-0000-000001000000}"/>
    <cellStyle name="20% - Accent2" xfId="3" xr:uid="{00000000-0005-0000-0000-000002000000}"/>
    <cellStyle name="20% - Accent2 2" xfId="4" xr:uid="{00000000-0005-0000-0000-000003000000}"/>
    <cellStyle name="20% - Accent3" xfId="5" xr:uid="{00000000-0005-0000-0000-000004000000}"/>
    <cellStyle name="20% - Accent3 2" xfId="6" xr:uid="{00000000-0005-0000-0000-000005000000}"/>
    <cellStyle name="20% - Accent4" xfId="7" xr:uid="{00000000-0005-0000-0000-000006000000}"/>
    <cellStyle name="20% - Accent4 2" xfId="8" xr:uid="{00000000-0005-0000-0000-000007000000}"/>
    <cellStyle name="20% - Accent5" xfId="9" xr:uid="{00000000-0005-0000-0000-000008000000}"/>
    <cellStyle name="20% - Accent5 2" xfId="10" xr:uid="{00000000-0005-0000-0000-000009000000}"/>
    <cellStyle name="20% - Accent6" xfId="11" xr:uid="{00000000-0005-0000-0000-00000A000000}"/>
    <cellStyle name="20% - Accent6 2" xfId="12" xr:uid="{00000000-0005-0000-0000-00000B000000}"/>
    <cellStyle name="20% - Ênfase1 2" xfId="13" xr:uid="{00000000-0005-0000-0000-00000C000000}"/>
    <cellStyle name="20% - Ênfase2 2" xfId="14" xr:uid="{00000000-0005-0000-0000-00000D000000}"/>
    <cellStyle name="20% - Ênfase3 2" xfId="15" xr:uid="{00000000-0005-0000-0000-00000E000000}"/>
    <cellStyle name="20% - Ênfase4 2" xfId="16" xr:uid="{00000000-0005-0000-0000-00000F000000}"/>
    <cellStyle name="20% - Ênfase5 2" xfId="17" xr:uid="{00000000-0005-0000-0000-000010000000}"/>
    <cellStyle name="20% - Ênfase6 2" xfId="18" xr:uid="{00000000-0005-0000-0000-000011000000}"/>
    <cellStyle name="40% - Accent1" xfId="19" xr:uid="{00000000-0005-0000-0000-000012000000}"/>
    <cellStyle name="40% - Accent1 2" xfId="20" xr:uid="{00000000-0005-0000-0000-000013000000}"/>
    <cellStyle name="40% - Accent2" xfId="21" xr:uid="{00000000-0005-0000-0000-000014000000}"/>
    <cellStyle name="40% - Accent2 2" xfId="22" xr:uid="{00000000-0005-0000-0000-000015000000}"/>
    <cellStyle name="40% - Accent3" xfId="23" xr:uid="{00000000-0005-0000-0000-000016000000}"/>
    <cellStyle name="40% - Accent3 2" xfId="24" xr:uid="{00000000-0005-0000-0000-000017000000}"/>
    <cellStyle name="40% - Accent4" xfId="25" xr:uid="{00000000-0005-0000-0000-000018000000}"/>
    <cellStyle name="40% - Accent4 2" xfId="26" xr:uid="{00000000-0005-0000-0000-000019000000}"/>
    <cellStyle name="40% - Accent5" xfId="27" xr:uid="{00000000-0005-0000-0000-00001A000000}"/>
    <cellStyle name="40% - Accent5 2" xfId="28" xr:uid="{00000000-0005-0000-0000-00001B000000}"/>
    <cellStyle name="40% - Accent6" xfId="29" xr:uid="{00000000-0005-0000-0000-00001C000000}"/>
    <cellStyle name="40% - Accent6 2" xfId="30" xr:uid="{00000000-0005-0000-0000-00001D000000}"/>
    <cellStyle name="40% - Ênfase1 2" xfId="31" xr:uid="{00000000-0005-0000-0000-00001E000000}"/>
    <cellStyle name="40% - Ênfase2 2" xfId="32" xr:uid="{00000000-0005-0000-0000-00001F000000}"/>
    <cellStyle name="40% - Ênfase3 2" xfId="33" xr:uid="{00000000-0005-0000-0000-000020000000}"/>
    <cellStyle name="40% - Ênfase4 2" xfId="34" xr:uid="{00000000-0005-0000-0000-000021000000}"/>
    <cellStyle name="40% - Ênfase5 2" xfId="35" xr:uid="{00000000-0005-0000-0000-000022000000}"/>
    <cellStyle name="40% - Ênfase6 2" xfId="36" xr:uid="{00000000-0005-0000-0000-000023000000}"/>
    <cellStyle name="60% - Accent1" xfId="37" xr:uid="{00000000-0005-0000-0000-000024000000}"/>
    <cellStyle name="60% - Accent2" xfId="38" xr:uid="{00000000-0005-0000-0000-000025000000}"/>
    <cellStyle name="60% - Accent3" xfId="39" xr:uid="{00000000-0005-0000-0000-000026000000}"/>
    <cellStyle name="60% - Accent4" xfId="40" xr:uid="{00000000-0005-0000-0000-000027000000}"/>
    <cellStyle name="60% - Accent5" xfId="41" xr:uid="{00000000-0005-0000-0000-000028000000}"/>
    <cellStyle name="60% - Accent6" xfId="42" xr:uid="{00000000-0005-0000-0000-000029000000}"/>
    <cellStyle name="60% - Ênfase1 2" xfId="43" xr:uid="{00000000-0005-0000-0000-00002A000000}"/>
    <cellStyle name="60% - Ênfase2 2" xfId="44" xr:uid="{00000000-0005-0000-0000-00002B000000}"/>
    <cellStyle name="60% - Ênfase3 2" xfId="45" xr:uid="{00000000-0005-0000-0000-00002C000000}"/>
    <cellStyle name="60% - Ênfase4 2" xfId="46" xr:uid="{00000000-0005-0000-0000-00002D000000}"/>
    <cellStyle name="60% - Ênfase5 2" xfId="47" xr:uid="{00000000-0005-0000-0000-00002E000000}"/>
    <cellStyle name="60% - Ênfase6 2" xfId="48" xr:uid="{00000000-0005-0000-0000-00002F000000}"/>
    <cellStyle name="Accent1" xfId="49" xr:uid="{00000000-0005-0000-0000-000030000000}"/>
    <cellStyle name="Accent2" xfId="50" xr:uid="{00000000-0005-0000-0000-000031000000}"/>
    <cellStyle name="Accent3" xfId="51" xr:uid="{00000000-0005-0000-0000-000032000000}"/>
    <cellStyle name="Accent4" xfId="52" xr:uid="{00000000-0005-0000-0000-000033000000}"/>
    <cellStyle name="Accent5" xfId="53" xr:uid="{00000000-0005-0000-0000-000034000000}"/>
    <cellStyle name="Accent6" xfId="54" xr:uid="{00000000-0005-0000-0000-000035000000}"/>
    <cellStyle name="asd" xfId="55" xr:uid="{00000000-0005-0000-0000-000036000000}"/>
    <cellStyle name="asd 2" xfId="56" xr:uid="{00000000-0005-0000-0000-000037000000}"/>
    <cellStyle name="Bad" xfId="57" xr:uid="{00000000-0005-0000-0000-000038000000}"/>
    <cellStyle name="Bom 2" xfId="58" xr:uid="{00000000-0005-0000-0000-000039000000}"/>
    <cellStyle name="Cabeçalho 1" xfId="59" xr:uid="{00000000-0005-0000-0000-00003A000000}"/>
    <cellStyle name="Cabeçalho 2" xfId="60" xr:uid="{00000000-0005-0000-0000-00003B000000}"/>
    <cellStyle name="Calculation" xfId="61" xr:uid="{00000000-0005-0000-0000-00003C000000}"/>
    <cellStyle name="Calculation 2" xfId="62" xr:uid="{00000000-0005-0000-0000-00003D000000}"/>
    <cellStyle name="Cálculo 2" xfId="63" xr:uid="{00000000-0005-0000-0000-00003E000000}"/>
    <cellStyle name="Cálculo 3" xfId="64" xr:uid="{00000000-0005-0000-0000-00003F000000}"/>
    <cellStyle name="Célula de Verificação 2" xfId="65" xr:uid="{00000000-0005-0000-0000-000040000000}"/>
    <cellStyle name="Célula Vinculada 2" xfId="66" xr:uid="{00000000-0005-0000-0000-000041000000}"/>
    <cellStyle name="Check Cell" xfId="67" xr:uid="{00000000-0005-0000-0000-000042000000}"/>
    <cellStyle name="Comma" xfId="68" xr:uid="{00000000-0005-0000-0000-000043000000}"/>
    <cellStyle name="Comma 2" xfId="69" xr:uid="{00000000-0005-0000-0000-000044000000}"/>
    <cellStyle name="Comma 2 10" xfId="70" xr:uid="{00000000-0005-0000-0000-000045000000}"/>
    <cellStyle name="Comma 2 11" xfId="71" xr:uid="{00000000-0005-0000-0000-000046000000}"/>
    <cellStyle name="Comma 2 12" xfId="72" xr:uid="{00000000-0005-0000-0000-000047000000}"/>
    <cellStyle name="Comma 2 13" xfId="73" xr:uid="{00000000-0005-0000-0000-000048000000}"/>
    <cellStyle name="Comma 2 14" xfId="74" xr:uid="{00000000-0005-0000-0000-000049000000}"/>
    <cellStyle name="Comma 2 15" xfId="75" xr:uid="{00000000-0005-0000-0000-00004A000000}"/>
    <cellStyle name="Comma 2 16" xfId="76" xr:uid="{00000000-0005-0000-0000-00004B000000}"/>
    <cellStyle name="Comma 2 17" xfId="77" xr:uid="{00000000-0005-0000-0000-00004C000000}"/>
    <cellStyle name="Comma 2 18" xfId="78" xr:uid="{00000000-0005-0000-0000-00004D000000}"/>
    <cellStyle name="Comma 2 19" xfId="79" xr:uid="{00000000-0005-0000-0000-00004E000000}"/>
    <cellStyle name="Comma 2 2" xfId="80" xr:uid="{00000000-0005-0000-0000-00004F000000}"/>
    <cellStyle name="Comma 2 20" xfId="81" xr:uid="{00000000-0005-0000-0000-000050000000}"/>
    <cellStyle name="Comma 2 21" xfId="82" xr:uid="{00000000-0005-0000-0000-000051000000}"/>
    <cellStyle name="Comma 2 22" xfId="83" xr:uid="{00000000-0005-0000-0000-000052000000}"/>
    <cellStyle name="Comma 2 23" xfId="84" xr:uid="{00000000-0005-0000-0000-000053000000}"/>
    <cellStyle name="Comma 2 24" xfId="85" xr:uid="{00000000-0005-0000-0000-000054000000}"/>
    <cellStyle name="Comma 2 25" xfId="86" xr:uid="{00000000-0005-0000-0000-000055000000}"/>
    <cellStyle name="Comma 2 26" xfId="87" xr:uid="{00000000-0005-0000-0000-000056000000}"/>
    <cellStyle name="Comma 2 3" xfId="88" xr:uid="{00000000-0005-0000-0000-000057000000}"/>
    <cellStyle name="Comma 2 4" xfId="89" xr:uid="{00000000-0005-0000-0000-000058000000}"/>
    <cellStyle name="Comma 2 5" xfId="90" xr:uid="{00000000-0005-0000-0000-000059000000}"/>
    <cellStyle name="Comma 2 6" xfId="91" xr:uid="{00000000-0005-0000-0000-00005A000000}"/>
    <cellStyle name="Comma 2 7" xfId="92" xr:uid="{00000000-0005-0000-0000-00005B000000}"/>
    <cellStyle name="Comma 2 8" xfId="93" xr:uid="{00000000-0005-0000-0000-00005C000000}"/>
    <cellStyle name="Comma 2 9" xfId="94" xr:uid="{00000000-0005-0000-0000-00005D000000}"/>
    <cellStyle name="Comma0" xfId="95" xr:uid="{00000000-0005-0000-0000-00005E000000}"/>
    <cellStyle name="Currency" xfId="96" xr:uid="{00000000-0005-0000-0000-00005F000000}"/>
    <cellStyle name="Currency0" xfId="97" xr:uid="{00000000-0005-0000-0000-000060000000}"/>
    <cellStyle name="Data" xfId="98" xr:uid="{00000000-0005-0000-0000-000061000000}"/>
    <cellStyle name="Date" xfId="99" xr:uid="{00000000-0005-0000-0000-000062000000}"/>
    <cellStyle name="Ênfase1 2" xfId="100" xr:uid="{00000000-0005-0000-0000-000063000000}"/>
    <cellStyle name="Ênfase2 2" xfId="101" xr:uid="{00000000-0005-0000-0000-000064000000}"/>
    <cellStyle name="Ênfase3 2" xfId="102" xr:uid="{00000000-0005-0000-0000-000065000000}"/>
    <cellStyle name="Ênfase4 2" xfId="103" xr:uid="{00000000-0005-0000-0000-000066000000}"/>
    <cellStyle name="Ênfase5 2" xfId="104" xr:uid="{00000000-0005-0000-0000-000067000000}"/>
    <cellStyle name="Ênfase6 2" xfId="105" xr:uid="{00000000-0005-0000-0000-000068000000}"/>
    <cellStyle name="Entrada 2" xfId="106" xr:uid="{00000000-0005-0000-0000-000069000000}"/>
    <cellStyle name="Entrada 3" xfId="107" xr:uid="{00000000-0005-0000-0000-00006A000000}"/>
    <cellStyle name="Euro" xfId="108" xr:uid="{00000000-0005-0000-0000-00006B000000}"/>
    <cellStyle name="Euro 10" xfId="109" xr:uid="{00000000-0005-0000-0000-00006C000000}"/>
    <cellStyle name="Euro 11" xfId="110" xr:uid="{00000000-0005-0000-0000-00006D000000}"/>
    <cellStyle name="Euro 12" xfId="111" xr:uid="{00000000-0005-0000-0000-00006E000000}"/>
    <cellStyle name="Euro 13" xfId="112" xr:uid="{00000000-0005-0000-0000-00006F000000}"/>
    <cellStyle name="Euro 14" xfId="113" xr:uid="{00000000-0005-0000-0000-000070000000}"/>
    <cellStyle name="Euro 15" xfId="114" xr:uid="{00000000-0005-0000-0000-000071000000}"/>
    <cellStyle name="Euro 16" xfId="115" xr:uid="{00000000-0005-0000-0000-000072000000}"/>
    <cellStyle name="Euro 17" xfId="116" xr:uid="{00000000-0005-0000-0000-000073000000}"/>
    <cellStyle name="Euro 18" xfId="117" xr:uid="{00000000-0005-0000-0000-000074000000}"/>
    <cellStyle name="Euro 19" xfId="118" xr:uid="{00000000-0005-0000-0000-000075000000}"/>
    <cellStyle name="Euro 2" xfId="119" xr:uid="{00000000-0005-0000-0000-000076000000}"/>
    <cellStyle name="Euro 2 2" xfId="120" xr:uid="{00000000-0005-0000-0000-000077000000}"/>
    <cellStyle name="Euro 2 2 2" xfId="121" xr:uid="{00000000-0005-0000-0000-000078000000}"/>
    <cellStyle name="Euro 2 2_9_OAE" xfId="122" xr:uid="{00000000-0005-0000-0000-000079000000}"/>
    <cellStyle name="Euro 2 3" xfId="123" xr:uid="{00000000-0005-0000-0000-00007A000000}"/>
    <cellStyle name="Euro 2 3 2" xfId="124" xr:uid="{00000000-0005-0000-0000-00007B000000}"/>
    <cellStyle name="Euro 2 3_9_OAE" xfId="125" xr:uid="{00000000-0005-0000-0000-00007C000000}"/>
    <cellStyle name="Euro 2 4" xfId="126" xr:uid="{00000000-0005-0000-0000-00007D000000}"/>
    <cellStyle name="Euro 2 5" xfId="127" xr:uid="{00000000-0005-0000-0000-00007E000000}"/>
    <cellStyle name="Euro 2_9_OAE" xfId="128" xr:uid="{00000000-0005-0000-0000-00007F000000}"/>
    <cellStyle name="Euro 20" xfId="129" xr:uid="{00000000-0005-0000-0000-000080000000}"/>
    <cellStyle name="Euro 21" xfId="130" xr:uid="{00000000-0005-0000-0000-000081000000}"/>
    <cellStyle name="Euro 22" xfId="131" xr:uid="{00000000-0005-0000-0000-000082000000}"/>
    <cellStyle name="Euro 23" xfId="132" xr:uid="{00000000-0005-0000-0000-000083000000}"/>
    <cellStyle name="Euro 24" xfId="133" xr:uid="{00000000-0005-0000-0000-000084000000}"/>
    <cellStyle name="Euro 25" xfId="134" xr:uid="{00000000-0005-0000-0000-000085000000}"/>
    <cellStyle name="Euro 26" xfId="135" xr:uid="{00000000-0005-0000-0000-000086000000}"/>
    <cellStyle name="Euro 27" xfId="136" xr:uid="{00000000-0005-0000-0000-000087000000}"/>
    <cellStyle name="Euro 3" xfId="137" xr:uid="{00000000-0005-0000-0000-000088000000}"/>
    <cellStyle name="Euro 3 2" xfId="138" xr:uid="{00000000-0005-0000-0000-000089000000}"/>
    <cellStyle name="Euro 3 3" xfId="139" xr:uid="{00000000-0005-0000-0000-00008A000000}"/>
    <cellStyle name="Euro 3_9_OAE" xfId="140" xr:uid="{00000000-0005-0000-0000-00008B000000}"/>
    <cellStyle name="Euro 4" xfId="141" xr:uid="{00000000-0005-0000-0000-00008C000000}"/>
    <cellStyle name="Euro 4 2" xfId="142" xr:uid="{00000000-0005-0000-0000-00008D000000}"/>
    <cellStyle name="Euro 4 3" xfId="143" xr:uid="{00000000-0005-0000-0000-00008E000000}"/>
    <cellStyle name="Euro 4_9_OAE" xfId="144" xr:uid="{00000000-0005-0000-0000-00008F000000}"/>
    <cellStyle name="Euro 5" xfId="145" xr:uid="{00000000-0005-0000-0000-000090000000}"/>
    <cellStyle name="Euro 5 2" xfId="146" xr:uid="{00000000-0005-0000-0000-000091000000}"/>
    <cellStyle name="Euro 5 3" xfId="147" xr:uid="{00000000-0005-0000-0000-000092000000}"/>
    <cellStyle name="Euro 5_9_OAE" xfId="148" xr:uid="{00000000-0005-0000-0000-000093000000}"/>
    <cellStyle name="Euro 6" xfId="149" xr:uid="{00000000-0005-0000-0000-000094000000}"/>
    <cellStyle name="Euro 6 2" xfId="150" xr:uid="{00000000-0005-0000-0000-000095000000}"/>
    <cellStyle name="Euro 6 3" xfId="151" xr:uid="{00000000-0005-0000-0000-000096000000}"/>
    <cellStyle name="Euro 6_9_OAE" xfId="152" xr:uid="{00000000-0005-0000-0000-000097000000}"/>
    <cellStyle name="Euro 7" xfId="153" xr:uid="{00000000-0005-0000-0000-000098000000}"/>
    <cellStyle name="Euro 7 2" xfId="154" xr:uid="{00000000-0005-0000-0000-000099000000}"/>
    <cellStyle name="Euro 8" xfId="155" xr:uid="{00000000-0005-0000-0000-00009A000000}"/>
    <cellStyle name="Euro 9" xfId="156" xr:uid="{00000000-0005-0000-0000-00009B000000}"/>
    <cellStyle name="Euro_9_OAE" xfId="157" xr:uid="{00000000-0005-0000-0000-00009C000000}"/>
    <cellStyle name="Excel Built-in Currency" xfId="158" xr:uid="{00000000-0005-0000-0000-00009D000000}"/>
    <cellStyle name="Excel Built-in Normal" xfId="159" xr:uid="{00000000-0005-0000-0000-00009E000000}"/>
    <cellStyle name="Excel Built-in Percent" xfId="160" xr:uid="{00000000-0005-0000-0000-00009F000000}"/>
    <cellStyle name="Explanatory Text" xfId="161" xr:uid="{00000000-0005-0000-0000-0000A0000000}"/>
    <cellStyle name="Fixed" xfId="162" xr:uid="{00000000-0005-0000-0000-0000A1000000}"/>
    <cellStyle name="Fixo" xfId="163" xr:uid="{00000000-0005-0000-0000-0000A2000000}"/>
    <cellStyle name="Good" xfId="164" xr:uid="{00000000-0005-0000-0000-0000A3000000}"/>
    <cellStyle name="HEADER" xfId="165" xr:uid="{00000000-0005-0000-0000-0000A4000000}"/>
    <cellStyle name="HEADER 2" xfId="166" xr:uid="{00000000-0005-0000-0000-0000A5000000}"/>
    <cellStyle name="Heading" xfId="167" xr:uid="{00000000-0005-0000-0000-0000A6000000}"/>
    <cellStyle name="Heading 1" xfId="168" xr:uid="{00000000-0005-0000-0000-0000A7000000}"/>
    <cellStyle name="Heading 1 2" xfId="169" xr:uid="{00000000-0005-0000-0000-0000A8000000}"/>
    <cellStyle name="Heading 1 3" xfId="170" xr:uid="{00000000-0005-0000-0000-0000A9000000}"/>
    <cellStyle name="Heading 1_9_OAE" xfId="171" xr:uid="{00000000-0005-0000-0000-0000AA000000}"/>
    <cellStyle name="Heading 2" xfId="172" xr:uid="{00000000-0005-0000-0000-0000AB000000}"/>
    <cellStyle name="Heading 2 2" xfId="173" xr:uid="{00000000-0005-0000-0000-0000AC000000}"/>
    <cellStyle name="Heading 3" xfId="174" xr:uid="{00000000-0005-0000-0000-0000AD000000}"/>
    <cellStyle name="Heading 3 2" xfId="175" xr:uid="{00000000-0005-0000-0000-0000AE000000}"/>
    <cellStyle name="Heading 4" xfId="176" xr:uid="{00000000-0005-0000-0000-0000AF000000}"/>
    <cellStyle name="Heading_9_OAE" xfId="177" xr:uid="{00000000-0005-0000-0000-0000B0000000}"/>
    <cellStyle name="Heading1" xfId="178" xr:uid="{00000000-0005-0000-0000-0000B1000000}"/>
    <cellStyle name="Heading1 1" xfId="179" xr:uid="{00000000-0005-0000-0000-0000B2000000}"/>
    <cellStyle name="Heading1 1 2" xfId="180" xr:uid="{00000000-0005-0000-0000-0000B3000000}"/>
    <cellStyle name="Heading1 1_9_OAE" xfId="181" xr:uid="{00000000-0005-0000-0000-0000B4000000}"/>
    <cellStyle name="Heading1 2" xfId="182" xr:uid="{00000000-0005-0000-0000-0000B5000000}"/>
    <cellStyle name="Heading1 3" xfId="183" xr:uid="{00000000-0005-0000-0000-0000B6000000}"/>
    <cellStyle name="Heading1_9_OAE" xfId="184" xr:uid="{00000000-0005-0000-0000-0000B7000000}"/>
    <cellStyle name="Incorreto 2" xfId="185" xr:uid="{00000000-0005-0000-0000-0000B8000000}"/>
    <cellStyle name="Incorreto 3" xfId="186" xr:uid="{00000000-0005-0000-0000-0000B9000000}"/>
    <cellStyle name="Indefinido" xfId="187" xr:uid="{00000000-0005-0000-0000-0000BA000000}"/>
    <cellStyle name="Input" xfId="188" xr:uid="{00000000-0005-0000-0000-0000BB000000}"/>
    <cellStyle name="Input 2" xfId="189" xr:uid="{00000000-0005-0000-0000-0000BC000000}"/>
    <cellStyle name="Linked Cell" xfId="190" xr:uid="{00000000-0005-0000-0000-0000BD000000}"/>
    <cellStyle name="Milliers [0]_after_discount" xfId="191" xr:uid="{00000000-0005-0000-0000-0000BE000000}"/>
    <cellStyle name="Milliers_after_discount" xfId="192" xr:uid="{00000000-0005-0000-0000-0000BF000000}"/>
    <cellStyle name="Model" xfId="193" xr:uid="{00000000-0005-0000-0000-0000C0000000}"/>
    <cellStyle name="Model 2" xfId="194" xr:uid="{00000000-0005-0000-0000-0000C1000000}"/>
    <cellStyle name="Moeda" xfId="195" builtinId="4"/>
    <cellStyle name="Moeda 10" xfId="196" xr:uid="{00000000-0005-0000-0000-0000C3000000}"/>
    <cellStyle name="Moeda 11" xfId="197" xr:uid="{00000000-0005-0000-0000-0000C4000000}"/>
    <cellStyle name="Moeda 12" xfId="198" xr:uid="{00000000-0005-0000-0000-0000C5000000}"/>
    <cellStyle name="Moeda 13" xfId="199" xr:uid="{00000000-0005-0000-0000-0000C6000000}"/>
    <cellStyle name="Moeda 14" xfId="200" xr:uid="{00000000-0005-0000-0000-0000C7000000}"/>
    <cellStyle name="Moeda 15" xfId="201" xr:uid="{00000000-0005-0000-0000-0000C8000000}"/>
    <cellStyle name="Moeda 16" xfId="202" xr:uid="{00000000-0005-0000-0000-0000C9000000}"/>
    <cellStyle name="Moeda 17" xfId="203" xr:uid="{00000000-0005-0000-0000-0000CA000000}"/>
    <cellStyle name="Moeda 2" xfId="204" xr:uid="{00000000-0005-0000-0000-0000CB000000}"/>
    <cellStyle name="Moeda 2 10" xfId="205" xr:uid="{00000000-0005-0000-0000-0000CC000000}"/>
    <cellStyle name="Moeda 2 11" xfId="206" xr:uid="{00000000-0005-0000-0000-0000CD000000}"/>
    <cellStyle name="Moeda 2 12" xfId="207" xr:uid="{00000000-0005-0000-0000-0000CE000000}"/>
    <cellStyle name="Moeda 2 13" xfId="208" xr:uid="{00000000-0005-0000-0000-0000CF000000}"/>
    <cellStyle name="Moeda 2 14" xfId="209" xr:uid="{00000000-0005-0000-0000-0000D0000000}"/>
    <cellStyle name="Moeda 2 15" xfId="210" xr:uid="{00000000-0005-0000-0000-0000D1000000}"/>
    <cellStyle name="Moeda 2 16" xfId="211" xr:uid="{00000000-0005-0000-0000-0000D2000000}"/>
    <cellStyle name="Moeda 2 17" xfId="212" xr:uid="{00000000-0005-0000-0000-0000D3000000}"/>
    <cellStyle name="Moeda 2 18" xfId="213" xr:uid="{00000000-0005-0000-0000-0000D4000000}"/>
    <cellStyle name="Moeda 2 19" xfId="214" xr:uid="{00000000-0005-0000-0000-0000D5000000}"/>
    <cellStyle name="Moeda 2 2" xfId="215" xr:uid="{00000000-0005-0000-0000-0000D6000000}"/>
    <cellStyle name="Moeda 2 2 2" xfId="216" xr:uid="{00000000-0005-0000-0000-0000D7000000}"/>
    <cellStyle name="Moeda 2 2 3" xfId="217" xr:uid="{00000000-0005-0000-0000-0000D8000000}"/>
    <cellStyle name="Moeda 2 2_9_OAE" xfId="218" xr:uid="{00000000-0005-0000-0000-0000D9000000}"/>
    <cellStyle name="Moeda 2 20" xfId="219" xr:uid="{00000000-0005-0000-0000-0000DA000000}"/>
    <cellStyle name="Moeda 2 21" xfId="220" xr:uid="{00000000-0005-0000-0000-0000DB000000}"/>
    <cellStyle name="Moeda 2 22" xfId="221" xr:uid="{00000000-0005-0000-0000-0000DC000000}"/>
    <cellStyle name="Moeda 2 23" xfId="222" xr:uid="{00000000-0005-0000-0000-0000DD000000}"/>
    <cellStyle name="Moeda 2 24" xfId="223" xr:uid="{00000000-0005-0000-0000-0000DE000000}"/>
    <cellStyle name="Moeda 2 25" xfId="224" xr:uid="{00000000-0005-0000-0000-0000DF000000}"/>
    <cellStyle name="Moeda 2 26" xfId="225" xr:uid="{00000000-0005-0000-0000-0000E0000000}"/>
    <cellStyle name="Moeda 2 27" xfId="226" xr:uid="{00000000-0005-0000-0000-0000E1000000}"/>
    <cellStyle name="Moeda 2 28" xfId="227" xr:uid="{00000000-0005-0000-0000-0000E2000000}"/>
    <cellStyle name="Moeda 2 29" xfId="228" xr:uid="{00000000-0005-0000-0000-0000E3000000}"/>
    <cellStyle name="Moeda 2 3" xfId="229" xr:uid="{00000000-0005-0000-0000-0000E4000000}"/>
    <cellStyle name="Moeda 2 3 2" xfId="230" xr:uid="{00000000-0005-0000-0000-0000E5000000}"/>
    <cellStyle name="Moeda 2 30" xfId="231" xr:uid="{00000000-0005-0000-0000-0000E6000000}"/>
    <cellStyle name="Moeda 2 31" xfId="232" xr:uid="{00000000-0005-0000-0000-0000E7000000}"/>
    <cellStyle name="Moeda 2 32" xfId="233" xr:uid="{00000000-0005-0000-0000-0000E8000000}"/>
    <cellStyle name="Moeda 2 33" xfId="234" xr:uid="{00000000-0005-0000-0000-0000E9000000}"/>
    <cellStyle name="Moeda 2 34" xfId="235" xr:uid="{00000000-0005-0000-0000-0000EA000000}"/>
    <cellStyle name="Moeda 2 35" xfId="236" xr:uid="{00000000-0005-0000-0000-0000EB000000}"/>
    <cellStyle name="Moeda 2 36" xfId="237" xr:uid="{00000000-0005-0000-0000-0000EC000000}"/>
    <cellStyle name="Moeda 2 37" xfId="238" xr:uid="{00000000-0005-0000-0000-0000ED000000}"/>
    <cellStyle name="Moeda 2 38" xfId="239" xr:uid="{00000000-0005-0000-0000-0000EE000000}"/>
    <cellStyle name="Moeda 2 39" xfId="240" xr:uid="{00000000-0005-0000-0000-0000EF000000}"/>
    <cellStyle name="Moeda 2 4" xfId="241" xr:uid="{00000000-0005-0000-0000-0000F0000000}"/>
    <cellStyle name="Moeda 2 40" xfId="242" xr:uid="{00000000-0005-0000-0000-0000F1000000}"/>
    <cellStyle name="Moeda 2 41" xfId="243" xr:uid="{00000000-0005-0000-0000-0000F2000000}"/>
    <cellStyle name="Moeda 2 42" xfId="244" xr:uid="{00000000-0005-0000-0000-0000F3000000}"/>
    <cellStyle name="Moeda 2 43" xfId="245" xr:uid="{00000000-0005-0000-0000-0000F4000000}"/>
    <cellStyle name="Moeda 2 44" xfId="246" xr:uid="{00000000-0005-0000-0000-0000F5000000}"/>
    <cellStyle name="Moeda 2 45" xfId="247" xr:uid="{00000000-0005-0000-0000-0000F6000000}"/>
    <cellStyle name="Moeda 2 45 2" xfId="248" xr:uid="{00000000-0005-0000-0000-0000F7000000}"/>
    <cellStyle name="Moeda 2 45 2 2" xfId="249" xr:uid="{00000000-0005-0000-0000-0000F8000000}"/>
    <cellStyle name="Moeda 2 45 3" xfId="250" xr:uid="{00000000-0005-0000-0000-0000F9000000}"/>
    <cellStyle name="Moeda 2 46" xfId="251" xr:uid="{00000000-0005-0000-0000-0000FA000000}"/>
    <cellStyle name="Moeda 2 46 2" xfId="252" xr:uid="{00000000-0005-0000-0000-0000FB000000}"/>
    <cellStyle name="Moeda 2 47" xfId="253" xr:uid="{00000000-0005-0000-0000-0000FC000000}"/>
    <cellStyle name="Moeda 2 48" xfId="254" xr:uid="{00000000-0005-0000-0000-0000FD000000}"/>
    <cellStyle name="Moeda 2 49" xfId="255" xr:uid="{00000000-0005-0000-0000-0000FE000000}"/>
    <cellStyle name="Moeda 2 5" xfId="256" xr:uid="{00000000-0005-0000-0000-0000FF000000}"/>
    <cellStyle name="Moeda 2 50" xfId="257" xr:uid="{00000000-0005-0000-0000-000000010000}"/>
    <cellStyle name="Moeda 2 51" xfId="258" xr:uid="{00000000-0005-0000-0000-000001010000}"/>
    <cellStyle name="Moeda 2 52" xfId="259" xr:uid="{00000000-0005-0000-0000-000002010000}"/>
    <cellStyle name="Moeda 2 6" xfId="260" xr:uid="{00000000-0005-0000-0000-000003010000}"/>
    <cellStyle name="Moeda 2 7" xfId="261" xr:uid="{00000000-0005-0000-0000-000004010000}"/>
    <cellStyle name="Moeda 2 8" xfId="262" xr:uid="{00000000-0005-0000-0000-000005010000}"/>
    <cellStyle name="Moeda 2 9" xfId="263" xr:uid="{00000000-0005-0000-0000-000006010000}"/>
    <cellStyle name="Moeda 3" xfId="264" xr:uid="{00000000-0005-0000-0000-000007010000}"/>
    <cellStyle name="Moeda 3 2" xfId="265" xr:uid="{00000000-0005-0000-0000-000008010000}"/>
    <cellStyle name="Moeda 3 2 2" xfId="266" xr:uid="{00000000-0005-0000-0000-000009010000}"/>
    <cellStyle name="Moeda 3 3" xfId="267" xr:uid="{00000000-0005-0000-0000-00000A010000}"/>
    <cellStyle name="Moeda 3 4" xfId="268" xr:uid="{00000000-0005-0000-0000-00000B010000}"/>
    <cellStyle name="Moeda 3 5" xfId="269" xr:uid="{00000000-0005-0000-0000-00000C010000}"/>
    <cellStyle name="Moeda 3 5 2" xfId="270" xr:uid="{00000000-0005-0000-0000-00000D010000}"/>
    <cellStyle name="Moeda 3_9_OAE" xfId="271" xr:uid="{00000000-0005-0000-0000-00000E010000}"/>
    <cellStyle name="Moeda 4" xfId="272" xr:uid="{00000000-0005-0000-0000-00000F010000}"/>
    <cellStyle name="Moeda 4 2" xfId="273" xr:uid="{00000000-0005-0000-0000-000010010000}"/>
    <cellStyle name="Moeda 4 2 2" xfId="274" xr:uid="{00000000-0005-0000-0000-000011010000}"/>
    <cellStyle name="Moeda 4 2 3" xfId="275" xr:uid="{00000000-0005-0000-0000-000012010000}"/>
    <cellStyle name="Moeda 4 2_9_OAE" xfId="276" xr:uid="{00000000-0005-0000-0000-000013010000}"/>
    <cellStyle name="Moeda 4_9_OAE" xfId="277" xr:uid="{00000000-0005-0000-0000-000014010000}"/>
    <cellStyle name="Moeda 5" xfId="278" xr:uid="{00000000-0005-0000-0000-000015010000}"/>
    <cellStyle name="Moeda 5 2" xfId="279" xr:uid="{00000000-0005-0000-0000-000016010000}"/>
    <cellStyle name="Moeda 5_9_OAE" xfId="280" xr:uid="{00000000-0005-0000-0000-000017010000}"/>
    <cellStyle name="Moeda 6" xfId="281" xr:uid="{00000000-0005-0000-0000-000018010000}"/>
    <cellStyle name="Moeda 6 2" xfId="282" xr:uid="{00000000-0005-0000-0000-000019010000}"/>
    <cellStyle name="Moeda 7" xfId="283" xr:uid="{00000000-0005-0000-0000-00001A010000}"/>
    <cellStyle name="Moeda 8" xfId="284" xr:uid="{00000000-0005-0000-0000-00001B010000}"/>
    <cellStyle name="Moeda 9" xfId="285" xr:uid="{00000000-0005-0000-0000-00001C010000}"/>
    <cellStyle name="Moeda0" xfId="286" xr:uid="{00000000-0005-0000-0000-00001D010000}"/>
    <cellStyle name="Monétaire [0]_after_discount" xfId="287" xr:uid="{00000000-0005-0000-0000-00001E010000}"/>
    <cellStyle name="Monétaire_after_discount" xfId="288" xr:uid="{00000000-0005-0000-0000-00001F010000}"/>
    <cellStyle name="mpenho" xfId="289" xr:uid="{00000000-0005-0000-0000-000020010000}"/>
    <cellStyle name="Neutra 2" xfId="290" xr:uid="{00000000-0005-0000-0000-000021010000}"/>
    <cellStyle name="Neutral" xfId="291" xr:uid="{00000000-0005-0000-0000-000022010000}"/>
    <cellStyle name="Normal" xfId="0" builtinId="0"/>
    <cellStyle name="Normal 10" xfId="292" xr:uid="{00000000-0005-0000-0000-000024010000}"/>
    <cellStyle name="Normal 10 2" xfId="293" xr:uid="{00000000-0005-0000-0000-000025010000}"/>
    <cellStyle name="Normal 10 2 2" xfId="294" xr:uid="{00000000-0005-0000-0000-000026010000}"/>
    <cellStyle name="Normal 11" xfId="295" xr:uid="{00000000-0005-0000-0000-000027010000}"/>
    <cellStyle name="Normal 11 2" xfId="296" xr:uid="{00000000-0005-0000-0000-000028010000}"/>
    <cellStyle name="Normal 11 2 2" xfId="297" xr:uid="{00000000-0005-0000-0000-000029010000}"/>
    <cellStyle name="Normal 11 3" xfId="298" xr:uid="{00000000-0005-0000-0000-00002A010000}"/>
    <cellStyle name="Normal 11 3 2" xfId="299" xr:uid="{00000000-0005-0000-0000-00002B010000}"/>
    <cellStyle name="Normal 11 3 2 2" xfId="300" xr:uid="{00000000-0005-0000-0000-00002C010000}"/>
    <cellStyle name="Normal 11 3 2 2 2" xfId="301" xr:uid="{00000000-0005-0000-0000-00002D010000}"/>
    <cellStyle name="Normal 11 3 2 3" xfId="302" xr:uid="{00000000-0005-0000-0000-00002E010000}"/>
    <cellStyle name="Normal 11 3 3" xfId="303" xr:uid="{00000000-0005-0000-0000-00002F010000}"/>
    <cellStyle name="Normal 11 3 3 2" xfId="304" xr:uid="{00000000-0005-0000-0000-000030010000}"/>
    <cellStyle name="Normal 11 3 4" xfId="305" xr:uid="{00000000-0005-0000-0000-000031010000}"/>
    <cellStyle name="Normal 12" xfId="306" xr:uid="{00000000-0005-0000-0000-000032010000}"/>
    <cellStyle name="Normal 12 2" xfId="307" xr:uid="{00000000-0005-0000-0000-000033010000}"/>
    <cellStyle name="Normal 12 2 2" xfId="308" xr:uid="{00000000-0005-0000-0000-000034010000}"/>
    <cellStyle name="Normal 12 3" xfId="309" xr:uid="{00000000-0005-0000-0000-000035010000}"/>
    <cellStyle name="Normal 12_9_OAE" xfId="310" xr:uid="{00000000-0005-0000-0000-000036010000}"/>
    <cellStyle name="Normal 13" xfId="311" xr:uid="{00000000-0005-0000-0000-000037010000}"/>
    <cellStyle name="Normal 13 2" xfId="312" xr:uid="{00000000-0005-0000-0000-000038010000}"/>
    <cellStyle name="Normal 13 2 2" xfId="313" xr:uid="{00000000-0005-0000-0000-000039010000}"/>
    <cellStyle name="Normal 13 2 2 2" xfId="314" xr:uid="{00000000-0005-0000-0000-00003A010000}"/>
    <cellStyle name="Normal 13 2 2 2 2" xfId="315" xr:uid="{00000000-0005-0000-0000-00003B010000}"/>
    <cellStyle name="Normal 13 2 2 2 2 2" xfId="316" xr:uid="{00000000-0005-0000-0000-00003C010000}"/>
    <cellStyle name="Normal 13 2 2 2 3" xfId="317" xr:uid="{00000000-0005-0000-0000-00003D010000}"/>
    <cellStyle name="Normal 13 2 2 3" xfId="318" xr:uid="{00000000-0005-0000-0000-00003E010000}"/>
    <cellStyle name="Normal 13 2 2 3 2" xfId="319" xr:uid="{00000000-0005-0000-0000-00003F010000}"/>
    <cellStyle name="Normal 13 2 2 4" xfId="320" xr:uid="{00000000-0005-0000-0000-000040010000}"/>
    <cellStyle name="Normal 13 2 3" xfId="321" xr:uid="{00000000-0005-0000-0000-000041010000}"/>
    <cellStyle name="Normal 13 2 3 2" xfId="322" xr:uid="{00000000-0005-0000-0000-000042010000}"/>
    <cellStyle name="Normal 13 2 3 2 2" xfId="323" xr:uid="{00000000-0005-0000-0000-000043010000}"/>
    <cellStyle name="Normal 13 2 3 3" xfId="324" xr:uid="{00000000-0005-0000-0000-000044010000}"/>
    <cellStyle name="Normal 13 2 4" xfId="325" xr:uid="{00000000-0005-0000-0000-000045010000}"/>
    <cellStyle name="Normal 13 2 4 2" xfId="326" xr:uid="{00000000-0005-0000-0000-000046010000}"/>
    <cellStyle name="Normal 13 2 5" xfId="327" xr:uid="{00000000-0005-0000-0000-000047010000}"/>
    <cellStyle name="Normal 13 2 6" xfId="328" xr:uid="{00000000-0005-0000-0000-000048010000}"/>
    <cellStyle name="Normal 13 2 7" xfId="329" xr:uid="{00000000-0005-0000-0000-000049010000}"/>
    <cellStyle name="Normal 13 2_9_OAE" xfId="330" xr:uid="{00000000-0005-0000-0000-00004A010000}"/>
    <cellStyle name="Normal 13 3" xfId="331" xr:uid="{00000000-0005-0000-0000-00004B010000}"/>
    <cellStyle name="Normal 13 4" xfId="332" xr:uid="{00000000-0005-0000-0000-00004C010000}"/>
    <cellStyle name="Normal 14" xfId="333" xr:uid="{00000000-0005-0000-0000-00004D010000}"/>
    <cellStyle name="Normal 15" xfId="334" xr:uid="{00000000-0005-0000-0000-00004E010000}"/>
    <cellStyle name="Normal 16" xfId="335" xr:uid="{00000000-0005-0000-0000-00004F010000}"/>
    <cellStyle name="Normal 16 2" xfId="336" xr:uid="{00000000-0005-0000-0000-000050010000}"/>
    <cellStyle name="Normal 17" xfId="337" xr:uid="{00000000-0005-0000-0000-000051010000}"/>
    <cellStyle name="Normal 18" xfId="338" xr:uid="{00000000-0005-0000-0000-000052010000}"/>
    <cellStyle name="Normal 18 2" xfId="339" xr:uid="{00000000-0005-0000-0000-000053010000}"/>
    <cellStyle name="Normal 19" xfId="340" xr:uid="{00000000-0005-0000-0000-000054010000}"/>
    <cellStyle name="Normal 2" xfId="341" xr:uid="{00000000-0005-0000-0000-000055010000}"/>
    <cellStyle name="Normal 2 10" xfId="342" xr:uid="{00000000-0005-0000-0000-000056010000}"/>
    <cellStyle name="Normal 2 2" xfId="343" xr:uid="{00000000-0005-0000-0000-000057010000}"/>
    <cellStyle name="Normal 2 2 2" xfId="344" xr:uid="{00000000-0005-0000-0000-000058010000}"/>
    <cellStyle name="Normal 2 2 2 2" xfId="345" xr:uid="{00000000-0005-0000-0000-000059010000}"/>
    <cellStyle name="Normal 2 2 2 2 2" xfId="346" xr:uid="{00000000-0005-0000-0000-00005A010000}"/>
    <cellStyle name="Normal 2 2 3" xfId="347" xr:uid="{00000000-0005-0000-0000-00005B010000}"/>
    <cellStyle name="Normal 2 3" xfId="348" xr:uid="{00000000-0005-0000-0000-00005C010000}"/>
    <cellStyle name="Normal 2 3 2" xfId="349" xr:uid="{00000000-0005-0000-0000-00005D010000}"/>
    <cellStyle name="Normal 2 3_9_OAE" xfId="350" xr:uid="{00000000-0005-0000-0000-00005E010000}"/>
    <cellStyle name="Normal 2 4" xfId="351" xr:uid="{00000000-0005-0000-0000-00005F010000}"/>
    <cellStyle name="Normal 2 4 2" xfId="352" xr:uid="{00000000-0005-0000-0000-000060010000}"/>
    <cellStyle name="Normal 2 4_9_OAE" xfId="353" xr:uid="{00000000-0005-0000-0000-000061010000}"/>
    <cellStyle name="Normal 2 5" xfId="354" xr:uid="{00000000-0005-0000-0000-000062010000}"/>
    <cellStyle name="Normal 2 5 2" xfId="355" xr:uid="{00000000-0005-0000-0000-000063010000}"/>
    <cellStyle name="Normal 2 6" xfId="356" xr:uid="{00000000-0005-0000-0000-000064010000}"/>
    <cellStyle name="Normal 2 6 2" xfId="357" xr:uid="{00000000-0005-0000-0000-000065010000}"/>
    <cellStyle name="Normal 2 7" xfId="358" xr:uid="{00000000-0005-0000-0000-000066010000}"/>
    <cellStyle name="Normal 2 7 2" xfId="359" xr:uid="{00000000-0005-0000-0000-000067010000}"/>
    <cellStyle name="Normal 2 8" xfId="360" xr:uid="{00000000-0005-0000-0000-000068010000}"/>
    <cellStyle name="Normal 2 9" xfId="361" xr:uid="{00000000-0005-0000-0000-000069010000}"/>
    <cellStyle name="Normal 2_Demonstr. do Orçamento BR-304-RN última" xfId="362" xr:uid="{00000000-0005-0000-0000-00006A010000}"/>
    <cellStyle name="Normal 20" xfId="363" xr:uid="{00000000-0005-0000-0000-00006B010000}"/>
    <cellStyle name="Normal 21" xfId="364" xr:uid="{00000000-0005-0000-0000-00006C010000}"/>
    <cellStyle name="Normal 22" xfId="365" xr:uid="{00000000-0005-0000-0000-00006D010000}"/>
    <cellStyle name="Normal 23" xfId="366" xr:uid="{00000000-0005-0000-0000-00006E010000}"/>
    <cellStyle name="Normal 24" xfId="367" xr:uid="{00000000-0005-0000-0000-00006F010000}"/>
    <cellStyle name="Normal 25" xfId="368" xr:uid="{00000000-0005-0000-0000-000070010000}"/>
    <cellStyle name="Normal 26" xfId="369" xr:uid="{00000000-0005-0000-0000-000071010000}"/>
    <cellStyle name="Normal 27" xfId="370" xr:uid="{00000000-0005-0000-0000-000072010000}"/>
    <cellStyle name="Normal 28" xfId="371" xr:uid="{00000000-0005-0000-0000-000073010000}"/>
    <cellStyle name="Normal 29" xfId="372" xr:uid="{00000000-0005-0000-0000-000074010000}"/>
    <cellStyle name="Normal 29 2" xfId="373" xr:uid="{00000000-0005-0000-0000-000075010000}"/>
    <cellStyle name="Normal 3" xfId="374" xr:uid="{00000000-0005-0000-0000-000076010000}"/>
    <cellStyle name="Normal 3 10" xfId="375" xr:uid="{00000000-0005-0000-0000-000077010000}"/>
    <cellStyle name="Normal 3 11" xfId="376" xr:uid="{00000000-0005-0000-0000-000078010000}"/>
    <cellStyle name="Normal 3 12" xfId="377" xr:uid="{00000000-0005-0000-0000-000079010000}"/>
    <cellStyle name="Normal 3 13" xfId="378" xr:uid="{00000000-0005-0000-0000-00007A010000}"/>
    <cellStyle name="Normal 3 14" xfId="379" xr:uid="{00000000-0005-0000-0000-00007B010000}"/>
    <cellStyle name="Normal 3 15" xfId="380" xr:uid="{00000000-0005-0000-0000-00007C010000}"/>
    <cellStyle name="Normal 3 16" xfId="381" xr:uid="{00000000-0005-0000-0000-00007D010000}"/>
    <cellStyle name="Normal 3 17" xfId="382" xr:uid="{00000000-0005-0000-0000-00007E010000}"/>
    <cellStyle name="Normal 3 18" xfId="383" xr:uid="{00000000-0005-0000-0000-00007F010000}"/>
    <cellStyle name="Normal 3 19" xfId="384" xr:uid="{00000000-0005-0000-0000-000080010000}"/>
    <cellStyle name="Normal 3 2" xfId="385" xr:uid="{00000000-0005-0000-0000-000081010000}"/>
    <cellStyle name="Normal 3 2 2" xfId="386" xr:uid="{00000000-0005-0000-0000-000082010000}"/>
    <cellStyle name="Normal 3 2 3" xfId="387" xr:uid="{00000000-0005-0000-0000-000083010000}"/>
    <cellStyle name="Normal 3 20" xfId="388" xr:uid="{00000000-0005-0000-0000-000084010000}"/>
    <cellStyle name="Normal 3 21" xfId="389" xr:uid="{00000000-0005-0000-0000-000085010000}"/>
    <cellStyle name="Normal 3 22" xfId="390" xr:uid="{00000000-0005-0000-0000-000086010000}"/>
    <cellStyle name="Normal 3 23" xfId="391" xr:uid="{00000000-0005-0000-0000-000087010000}"/>
    <cellStyle name="Normal 3 24" xfId="392" xr:uid="{00000000-0005-0000-0000-000088010000}"/>
    <cellStyle name="Normal 3 25" xfId="393" xr:uid="{00000000-0005-0000-0000-000089010000}"/>
    <cellStyle name="Normal 3 26" xfId="394" xr:uid="{00000000-0005-0000-0000-00008A010000}"/>
    <cellStyle name="Normal 3 3" xfId="395" xr:uid="{00000000-0005-0000-0000-00008B010000}"/>
    <cellStyle name="Normal 3 4" xfId="396" xr:uid="{00000000-0005-0000-0000-00008C010000}"/>
    <cellStyle name="Normal 3 4 2" xfId="397" xr:uid="{00000000-0005-0000-0000-00008D010000}"/>
    <cellStyle name="Normal 3 4 2 2" xfId="398" xr:uid="{00000000-0005-0000-0000-00008E010000}"/>
    <cellStyle name="Normal 3 4 2 2 2" xfId="399" xr:uid="{00000000-0005-0000-0000-00008F010000}"/>
    <cellStyle name="Normal 3 4 2 2 2 2" xfId="400" xr:uid="{00000000-0005-0000-0000-000090010000}"/>
    <cellStyle name="Normal 3 4 2 2 3" xfId="401" xr:uid="{00000000-0005-0000-0000-000091010000}"/>
    <cellStyle name="Normal 3 4 2 3" xfId="402" xr:uid="{00000000-0005-0000-0000-000092010000}"/>
    <cellStyle name="Normal 3 4 2 3 2" xfId="403" xr:uid="{00000000-0005-0000-0000-000093010000}"/>
    <cellStyle name="Normal 3 4 2 4" xfId="404" xr:uid="{00000000-0005-0000-0000-000094010000}"/>
    <cellStyle name="Normal 3 4 3" xfId="405" xr:uid="{00000000-0005-0000-0000-000095010000}"/>
    <cellStyle name="Normal 3 4 3 2" xfId="406" xr:uid="{00000000-0005-0000-0000-000096010000}"/>
    <cellStyle name="Normal 3 4 3 2 2" xfId="407" xr:uid="{00000000-0005-0000-0000-000097010000}"/>
    <cellStyle name="Normal 3 4 3 3" xfId="408" xr:uid="{00000000-0005-0000-0000-000098010000}"/>
    <cellStyle name="Normal 3 4 4" xfId="409" xr:uid="{00000000-0005-0000-0000-000099010000}"/>
    <cellStyle name="Normal 3 4 4 2" xfId="410" xr:uid="{00000000-0005-0000-0000-00009A010000}"/>
    <cellStyle name="Normal 3 4 5" xfId="411" xr:uid="{00000000-0005-0000-0000-00009B010000}"/>
    <cellStyle name="Normal 3 4 6" xfId="412" xr:uid="{00000000-0005-0000-0000-00009C010000}"/>
    <cellStyle name="Normal 3 4 7" xfId="413" xr:uid="{00000000-0005-0000-0000-00009D010000}"/>
    <cellStyle name="Normal 3 4_9_OAE" xfId="414" xr:uid="{00000000-0005-0000-0000-00009E010000}"/>
    <cellStyle name="Normal 3 5" xfId="415" xr:uid="{00000000-0005-0000-0000-00009F010000}"/>
    <cellStyle name="Normal 3 6" xfId="416" xr:uid="{00000000-0005-0000-0000-0000A0010000}"/>
    <cellStyle name="Normal 3 7" xfId="417" xr:uid="{00000000-0005-0000-0000-0000A1010000}"/>
    <cellStyle name="Normal 3 8" xfId="418" xr:uid="{00000000-0005-0000-0000-0000A2010000}"/>
    <cellStyle name="Normal 3 9" xfId="419" xr:uid="{00000000-0005-0000-0000-0000A3010000}"/>
    <cellStyle name="Normal 3_ORÇAMENTO_URBANISMO 2" xfId="420" xr:uid="{00000000-0005-0000-0000-0000A4010000}"/>
    <cellStyle name="Normal 4" xfId="421" xr:uid="{00000000-0005-0000-0000-0000A5010000}"/>
    <cellStyle name="Normal 4 10" xfId="422" xr:uid="{00000000-0005-0000-0000-0000A6010000}"/>
    <cellStyle name="Normal 4 11" xfId="423" xr:uid="{00000000-0005-0000-0000-0000A7010000}"/>
    <cellStyle name="Normal 4 12" xfId="424" xr:uid="{00000000-0005-0000-0000-0000A8010000}"/>
    <cellStyle name="Normal 4 13" xfId="425" xr:uid="{00000000-0005-0000-0000-0000A9010000}"/>
    <cellStyle name="Normal 4 14" xfId="426" xr:uid="{00000000-0005-0000-0000-0000AA010000}"/>
    <cellStyle name="Normal 4 15" xfId="427" xr:uid="{00000000-0005-0000-0000-0000AB010000}"/>
    <cellStyle name="Normal 4 16" xfId="428" xr:uid="{00000000-0005-0000-0000-0000AC010000}"/>
    <cellStyle name="Normal 4 17" xfId="429" xr:uid="{00000000-0005-0000-0000-0000AD010000}"/>
    <cellStyle name="Normal 4 18" xfId="430" xr:uid="{00000000-0005-0000-0000-0000AE010000}"/>
    <cellStyle name="Normal 4 19" xfId="431" xr:uid="{00000000-0005-0000-0000-0000AF010000}"/>
    <cellStyle name="Normal 4 2" xfId="432" xr:uid="{00000000-0005-0000-0000-0000B0010000}"/>
    <cellStyle name="Normal 4 2 10" xfId="433" xr:uid="{00000000-0005-0000-0000-0000B1010000}"/>
    <cellStyle name="Normal 4 2 11" xfId="434" xr:uid="{00000000-0005-0000-0000-0000B2010000}"/>
    <cellStyle name="Normal 4 2 12" xfId="435" xr:uid="{00000000-0005-0000-0000-0000B3010000}"/>
    <cellStyle name="Normal 4 2 13" xfId="436" xr:uid="{00000000-0005-0000-0000-0000B4010000}"/>
    <cellStyle name="Normal 4 2 14" xfId="437" xr:uid="{00000000-0005-0000-0000-0000B5010000}"/>
    <cellStyle name="Normal 4 2 15" xfId="438" xr:uid="{00000000-0005-0000-0000-0000B6010000}"/>
    <cellStyle name="Normal 4 2 16" xfId="439" xr:uid="{00000000-0005-0000-0000-0000B7010000}"/>
    <cellStyle name="Normal 4 2 17" xfId="440" xr:uid="{00000000-0005-0000-0000-0000B8010000}"/>
    <cellStyle name="Normal 4 2 18" xfId="441" xr:uid="{00000000-0005-0000-0000-0000B9010000}"/>
    <cellStyle name="Normal 4 2 19" xfId="442" xr:uid="{00000000-0005-0000-0000-0000BA010000}"/>
    <cellStyle name="Normal 4 2 2" xfId="443" xr:uid="{00000000-0005-0000-0000-0000BB010000}"/>
    <cellStyle name="Normal 4 2 2 10" xfId="444" xr:uid="{00000000-0005-0000-0000-0000BC010000}"/>
    <cellStyle name="Normal 4 2 2 11" xfId="445" xr:uid="{00000000-0005-0000-0000-0000BD010000}"/>
    <cellStyle name="Normal 4 2 2 12" xfId="446" xr:uid="{00000000-0005-0000-0000-0000BE010000}"/>
    <cellStyle name="Normal 4 2 2 13" xfId="447" xr:uid="{00000000-0005-0000-0000-0000BF010000}"/>
    <cellStyle name="Normal 4 2 2 14" xfId="448" xr:uid="{00000000-0005-0000-0000-0000C0010000}"/>
    <cellStyle name="Normal 4 2 2 15" xfId="449" xr:uid="{00000000-0005-0000-0000-0000C1010000}"/>
    <cellStyle name="Normal 4 2 2 16" xfId="450" xr:uid="{00000000-0005-0000-0000-0000C2010000}"/>
    <cellStyle name="Normal 4 2 2 17" xfId="451" xr:uid="{00000000-0005-0000-0000-0000C3010000}"/>
    <cellStyle name="Normal 4 2 2 18" xfId="452" xr:uid="{00000000-0005-0000-0000-0000C4010000}"/>
    <cellStyle name="Normal 4 2 2 19" xfId="453" xr:uid="{00000000-0005-0000-0000-0000C5010000}"/>
    <cellStyle name="Normal 4 2 2 2" xfId="454" xr:uid="{00000000-0005-0000-0000-0000C6010000}"/>
    <cellStyle name="Normal 4 2 2 2 2" xfId="455" xr:uid="{00000000-0005-0000-0000-0000C7010000}"/>
    <cellStyle name="Normal 4 2 2 2 3" xfId="456" xr:uid="{00000000-0005-0000-0000-0000C8010000}"/>
    <cellStyle name="Normal 4 2 2 20" xfId="457" xr:uid="{00000000-0005-0000-0000-0000C9010000}"/>
    <cellStyle name="Normal 4 2 2 21" xfId="458" xr:uid="{00000000-0005-0000-0000-0000CA010000}"/>
    <cellStyle name="Normal 4 2 2 22" xfId="459" xr:uid="{00000000-0005-0000-0000-0000CB010000}"/>
    <cellStyle name="Normal 4 2 2 23" xfId="460" xr:uid="{00000000-0005-0000-0000-0000CC010000}"/>
    <cellStyle name="Normal 4 2 2 24" xfId="461" xr:uid="{00000000-0005-0000-0000-0000CD010000}"/>
    <cellStyle name="Normal 4 2 2 25" xfId="462" xr:uid="{00000000-0005-0000-0000-0000CE010000}"/>
    <cellStyle name="Normal 4 2 2 26" xfId="463" xr:uid="{00000000-0005-0000-0000-0000CF010000}"/>
    <cellStyle name="Normal 4 2 2 3" xfId="464" xr:uid="{00000000-0005-0000-0000-0000D0010000}"/>
    <cellStyle name="Normal 4 2 2 4" xfId="465" xr:uid="{00000000-0005-0000-0000-0000D1010000}"/>
    <cellStyle name="Normal 4 2 2 5" xfId="466" xr:uid="{00000000-0005-0000-0000-0000D2010000}"/>
    <cellStyle name="Normal 4 2 2 6" xfId="467" xr:uid="{00000000-0005-0000-0000-0000D3010000}"/>
    <cellStyle name="Normal 4 2 2 7" xfId="468" xr:uid="{00000000-0005-0000-0000-0000D4010000}"/>
    <cellStyle name="Normal 4 2 2 8" xfId="469" xr:uid="{00000000-0005-0000-0000-0000D5010000}"/>
    <cellStyle name="Normal 4 2 2 9" xfId="470" xr:uid="{00000000-0005-0000-0000-0000D6010000}"/>
    <cellStyle name="Normal 4 2 2_9_OAE" xfId="471" xr:uid="{00000000-0005-0000-0000-0000D7010000}"/>
    <cellStyle name="Normal 4 2 20" xfId="472" xr:uid="{00000000-0005-0000-0000-0000D8010000}"/>
    <cellStyle name="Normal 4 2 21" xfId="473" xr:uid="{00000000-0005-0000-0000-0000D9010000}"/>
    <cellStyle name="Normal 4 2 22" xfId="474" xr:uid="{00000000-0005-0000-0000-0000DA010000}"/>
    <cellStyle name="Normal 4 2 23" xfId="475" xr:uid="{00000000-0005-0000-0000-0000DB010000}"/>
    <cellStyle name="Normal 4 2 24" xfId="476" xr:uid="{00000000-0005-0000-0000-0000DC010000}"/>
    <cellStyle name="Normal 4 2 25" xfId="477" xr:uid="{00000000-0005-0000-0000-0000DD010000}"/>
    <cellStyle name="Normal 4 2 26" xfId="478" xr:uid="{00000000-0005-0000-0000-0000DE010000}"/>
    <cellStyle name="Normal 4 2 27" xfId="479" xr:uid="{00000000-0005-0000-0000-0000DF010000}"/>
    <cellStyle name="Normal 4 2 3" xfId="480" xr:uid="{00000000-0005-0000-0000-0000E0010000}"/>
    <cellStyle name="Normal 4 2 3 2" xfId="481" xr:uid="{00000000-0005-0000-0000-0000E1010000}"/>
    <cellStyle name="Normal 4 2 3 3" xfId="482" xr:uid="{00000000-0005-0000-0000-0000E2010000}"/>
    <cellStyle name="Normal 4 2 3_9_OAE" xfId="483" xr:uid="{00000000-0005-0000-0000-0000E3010000}"/>
    <cellStyle name="Normal 4 2 4" xfId="484" xr:uid="{00000000-0005-0000-0000-0000E4010000}"/>
    <cellStyle name="Normal 4 2 4 2" xfId="485" xr:uid="{00000000-0005-0000-0000-0000E5010000}"/>
    <cellStyle name="Normal 4 2 5" xfId="486" xr:uid="{00000000-0005-0000-0000-0000E6010000}"/>
    <cellStyle name="Normal 4 2 6" xfId="487" xr:uid="{00000000-0005-0000-0000-0000E7010000}"/>
    <cellStyle name="Normal 4 2 7" xfId="488" xr:uid="{00000000-0005-0000-0000-0000E8010000}"/>
    <cellStyle name="Normal 4 2 8" xfId="489" xr:uid="{00000000-0005-0000-0000-0000E9010000}"/>
    <cellStyle name="Normal 4 2 9" xfId="490" xr:uid="{00000000-0005-0000-0000-0000EA010000}"/>
    <cellStyle name="Normal 4 2_9_OAE" xfId="491" xr:uid="{00000000-0005-0000-0000-0000EB010000}"/>
    <cellStyle name="Normal 4 20" xfId="492" xr:uid="{00000000-0005-0000-0000-0000EC010000}"/>
    <cellStyle name="Normal 4 21" xfId="493" xr:uid="{00000000-0005-0000-0000-0000ED010000}"/>
    <cellStyle name="Normal 4 22" xfId="494" xr:uid="{00000000-0005-0000-0000-0000EE010000}"/>
    <cellStyle name="Normal 4 23" xfId="495" xr:uid="{00000000-0005-0000-0000-0000EF010000}"/>
    <cellStyle name="Normal 4 24" xfId="496" xr:uid="{00000000-0005-0000-0000-0000F0010000}"/>
    <cellStyle name="Normal 4 25" xfId="497" xr:uid="{00000000-0005-0000-0000-0000F1010000}"/>
    <cellStyle name="Normal 4 26" xfId="498" xr:uid="{00000000-0005-0000-0000-0000F2010000}"/>
    <cellStyle name="Normal 4 27" xfId="499" xr:uid="{00000000-0005-0000-0000-0000F3010000}"/>
    <cellStyle name="Normal 4 28" xfId="500" xr:uid="{00000000-0005-0000-0000-0000F4010000}"/>
    <cellStyle name="Normal 4 3" xfId="501" xr:uid="{00000000-0005-0000-0000-0000F5010000}"/>
    <cellStyle name="Normal 4 3 10" xfId="502" xr:uid="{00000000-0005-0000-0000-0000F6010000}"/>
    <cellStyle name="Normal 4 3 11" xfId="503" xr:uid="{00000000-0005-0000-0000-0000F7010000}"/>
    <cellStyle name="Normal 4 3 12" xfId="504" xr:uid="{00000000-0005-0000-0000-0000F8010000}"/>
    <cellStyle name="Normal 4 3 13" xfId="505" xr:uid="{00000000-0005-0000-0000-0000F9010000}"/>
    <cellStyle name="Normal 4 3 14" xfId="506" xr:uid="{00000000-0005-0000-0000-0000FA010000}"/>
    <cellStyle name="Normal 4 3 15" xfId="507" xr:uid="{00000000-0005-0000-0000-0000FB010000}"/>
    <cellStyle name="Normal 4 3 16" xfId="508" xr:uid="{00000000-0005-0000-0000-0000FC010000}"/>
    <cellStyle name="Normal 4 3 17" xfId="509" xr:uid="{00000000-0005-0000-0000-0000FD010000}"/>
    <cellStyle name="Normal 4 3 18" xfId="510" xr:uid="{00000000-0005-0000-0000-0000FE010000}"/>
    <cellStyle name="Normal 4 3 19" xfId="511" xr:uid="{00000000-0005-0000-0000-0000FF010000}"/>
    <cellStyle name="Normal 4 3 2" xfId="512" xr:uid="{00000000-0005-0000-0000-000000020000}"/>
    <cellStyle name="Normal 4 3 2 10" xfId="513" xr:uid="{00000000-0005-0000-0000-000001020000}"/>
    <cellStyle name="Normal 4 3 2 11" xfId="514" xr:uid="{00000000-0005-0000-0000-000002020000}"/>
    <cellStyle name="Normal 4 3 2 12" xfId="515" xr:uid="{00000000-0005-0000-0000-000003020000}"/>
    <cellStyle name="Normal 4 3 2 13" xfId="516" xr:uid="{00000000-0005-0000-0000-000004020000}"/>
    <cellStyle name="Normal 4 3 2 14" xfId="517" xr:uid="{00000000-0005-0000-0000-000005020000}"/>
    <cellStyle name="Normal 4 3 2 15" xfId="518" xr:uid="{00000000-0005-0000-0000-000006020000}"/>
    <cellStyle name="Normal 4 3 2 16" xfId="519" xr:uid="{00000000-0005-0000-0000-000007020000}"/>
    <cellStyle name="Normal 4 3 2 17" xfId="520" xr:uid="{00000000-0005-0000-0000-000008020000}"/>
    <cellStyle name="Normal 4 3 2 18" xfId="521" xr:uid="{00000000-0005-0000-0000-000009020000}"/>
    <cellStyle name="Normal 4 3 2 19" xfId="522" xr:uid="{00000000-0005-0000-0000-00000A020000}"/>
    <cellStyle name="Normal 4 3 2 2" xfId="523" xr:uid="{00000000-0005-0000-0000-00000B020000}"/>
    <cellStyle name="Normal 4 3 2 20" xfId="524" xr:uid="{00000000-0005-0000-0000-00000C020000}"/>
    <cellStyle name="Normal 4 3 2 21" xfId="525" xr:uid="{00000000-0005-0000-0000-00000D020000}"/>
    <cellStyle name="Normal 4 3 2 22" xfId="526" xr:uid="{00000000-0005-0000-0000-00000E020000}"/>
    <cellStyle name="Normal 4 3 2 23" xfId="527" xr:uid="{00000000-0005-0000-0000-00000F020000}"/>
    <cellStyle name="Normal 4 3 2 24" xfId="528" xr:uid="{00000000-0005-0000-0000-000010020000}"/>
    <cellStyle name="Normal 4 3 2 25" xfId="529" xr:uid="{00000000-0005-0000-0000-000011020000}"/>
    <cellStyle name="Normal 4 3 2 3" xfId="530" xr:uid="{00000000-0005-0000-0000-000012020000}"/>
    <cellStyle name="Normal 4 3 2 4" xfId="531" xr:uid="{00000000-0005-0000-0000-000013020000}"/>
    <cellStyle name="Normal 4 3 2 5" xfId="532" xr:uid="{00000000-0005-0000-0000-000014020000}"/>
    <cellStyle name="Normal 4 3 2 6" xfId="533" xr:uid="{00000000-0005-0000-0000-000015020000}"/>
    <cellStyle name="Normal 4 3 2 7" xfId="534" xr:uid="{00000000-0005-0000-0000-000016020000}"/>
    <cellStyle name="Normal 4 3 2 8" xfId="535" xr:uid="{00000000-0005-0000-0000-000017020000}"/>
    <cellStyle name="Normal 4 3 2 9" xfId="536" xr:uid="{00000000-0005-0000-0000-000018020000}"/>
    <cellStyle name="Normal 4 3 20" xfId="537" xr:uid="{00000000-0005-0000-0000-000019020000}"/>
    <cellStyle name="Normal 4 3 21" xfId="538" xr:uid="{00000000-0005-0000-0000-00001A020000}"/>
    <cellStyle name="Normal 4 3 22" xfId="539" xr:uid="{00000000-0005-0000-0000-00001B020000}"/>
    <cellStyle name="Normal 4 3 23" xfId="540" xr:uid="{00000000-0005-0000-0000-00001C020000}"/>
    <cellStyle name="Normal 4 3 24" xfId="541" xr:uid="{00000000-0005-0000-0000-00001D020000}"/>
    <cellStyle name="Normal 4 3 25" xfId="542" xr:uid="{00000000-0005-0000-0000-00001E020000}"/>
    <cellStyle name="Normal 4 3 26" xfId="543" xr:uid="{00000000-0005-0000-0000-00001F020000}"/>
    <cellStyle name="Normal 4 3 27" xfId="544" xr:uid="{00000000-0005-0000-0000-000020020000}"/>
    <cellStyle name="Normal 4 3 28" xfId="545" xr:uid="{00000000-0005-0000-0000-000021020000}"/>
    <cellStyle name="Normal 4 3 3" xfId="546" xr:uid="{00000000-0005-0000-0000-000022020000}"/>
    <cellStyle name="Normal 4 3 3 2" xfId="547" xr:uid="{00000000-0005-0000-0000-000023020000}"/>
    <cellStyle name="Normal 4 3 3 2 2" xfId="548" xr:uid="{00000000-0005-0000-0000-000024020000}"/>
    <cellStyle name="Normal 4 3 3 3" xfId="549" xr:uid="{00000000-0005-0000-0000-000025020000}"/>
    <cellStyle name="Normal 4 3 3 4" xfId="550" xr:uid="{00000000-0005-0000-0000-000026020000}"/>
    <cellStyle name="Normal 4 3 4" xfId="551" xr:uid="{00000000-0005-0000-0000-000027020000}"/>
    <cellStyle name="Normal 4 3 5" xfId="552" xr:uid="{00000000-0005-0000-0000-000028020000}"/>
    <cellStyle name="Normal 4 3 6" xfId="553" xr:uid="{00000000-0005-0000-0000-000029020000}"/>
    <cellStyle name="Normal 4 3 7" xfId="554" xr:uid="{00000000-0005-0000-0000-00002A020000}"/>
    <cellStyle name="Normal 4 3 8" xfId="555" xr:uid="{00000000-0005-0000-0000-00002B020000}"/>
    <cellStyle name="Normal 4 3 9" xfId="556" xr:uid="{00000000-0005-0000-0000-00002C020000}"/>
    <cellStyle name="Normal 4 4" xfId="557" xr:uid="{00000000-0005-0000-0000-00002D020000}"/>
    <cellStyle name="Normal 4 4 2" xfId="558" xr:uid="{00000000-0005-0000-0000-00002E020000}"/>
    <cellStyle name="Normal 4 5" xfId="559" xr:uid="{00000000-0005-0000-0000-00002F020000}"/>
    <cellStyle name="Normal 4 6" xfId="560" xr:uid="{00000000-0005-0000-0000-000030020000}"/>
    <cellStyle name="Normal 4 7" xfId="561" xr:uid="{00000000-0005-0000-0000-000031020000}"/>
    <cellStyle name="Normal 4 8" xfId="562" xr:uid="{00000000-0005-0000-0000-000032020000}"/>
    <cellStyle name="Normal 4 9" xfId="563" xr:uid="{00000000-0005-0000-0000-000033020000}"/>
    <cellStyle name="Normal 4_9_OAE" xfId="564" xr:uid="{00000000-0005-0000-0000-000034020000}"/>
    <cellStyle name="Normal 5" xfId="565" xr:uid="{00000000-0005-0000-0000-000035020000}"/>
    <cellStyle name="Normal 5 2" xfId="566" xr:uid="{00000000-0005-0000-0000-000036020000}"/>
    <cellStyle name="Normal 5 2 2" xfId="567" xr:uid="{00000000-0005-0000-0000-000037020000}"/>
    <cellStyle name="Normal 5 2 3" xfId="568" xr:uid="{00000000-0005-0000-0000-000038020000}"/>
    <cellStyle name="Normal 5 2 4" xfId="569" xr:uid="{00000000-0005-0000-0000-000039020000}"/>
    <cellStyle name="Normal 5 2 5" xfId="570" xr:uid="{00000000-0005-0000-0000-00003A020000}"/>
    <cellStyle name="Normal 5 3" xfId="571" xr:uid="{00000000-0005-0000-0000-00003B020000}"/>
    <cellStyle name="Normal 5 4" xfId="572" xr:uid="{00000000-0005-0000-0000-00003C020000}"/>
    <cellStyle name="Normal 5_9_OAE" xfId="573" xr:uid="{00000000-0005-0000-0000-00003D020000}"/>
    <cellStyle name="Normal 6" xfId="574" xr:uid="{00000000-0005-0000-0000-00003E020000}"/>
    <cellStyle name="Normal 6 2" xfId="575" xr:uid="{00000000-0005-0000-0000-00003F020000}"/>
    <cellStyle name="Normal 6 2 2" xfId="576" xr:uid="{00000000-0005-0000-0000-000040020000}"/>
    <cellStyle name="Normal 6 2_9_OAE" xfId="577" xr:uid="{00000000-0005-0000-0000-000041020000}"/>
    <cellStyle name="Normal 6 3" xfId="578" xr:uid="{00000000-0005-0000-0000-000042020000}"/>
    <cellStyle name="Normal 6_9_OAE" xfId="579" xr:uid="{00000000-0005-0000-0000-000043020000}"/>
    <cellStyle name="Normal 7" xfId="580" xr:uid="{00000000-0005-0000-0000-000044020000}"/>
    <cellStyle name="Normal 7 2" xfId="581" xr:uid="{00000000-0005-0000-0000-000045020000}"/>
    <cellStyle name="Normal 7 2 2" xfId="582" xr:uid="{00000000-0005-0000-0000-000046020000}"/>
    <cellStyle name="Normal 7 2 2 2" xfId="583" xr:uid="{00000000-0005-0000-0000-000047020000}"/>
    <cellStyle name="Normal 7 2 2 2 2" xfId="584" xr:uid="{00000000-0005-0000-0000-000048020000}"/>
    <cellStyle name="Normal 7 2 2 2 2 2" xfId="585" xr:uid="{00000000-0005-0000-0000-000049020000}"/>
    <cellStyle name="Normal 7 2 2 2 3" xfId="586" xr:uid="{00000000-0005-0000-0000-00004A020000}"/>
    <cellStyle name="Normal 7 2 2 3" xfId="587" xr:uid="{00000000-0005-0000-0000-00004B020000}"/>
    <cellStyle name="Normal 7 2 2 3 2" xfId="588" xr:uid="{00000000-0005-0000-0000-00004C020000}"/>
    <cellStyle name="Normal 7 2 2 4" xfId="589" xr:uid="{00000000-0005-0000-0000-00004D020000}"/>
    <cellStyle name="Normal 7 2 3" xfId="590" xr:uid="{00000000-0005-0000-0000-00004E020000}"/>
    <cellStyle name="Normal 7 2 3 2" xfId="591" xr:uid="{00000000-0005-0000-0000-00004F020000}"/>
    <cellStyle name="Normal 7 2 3 2 2" xfId="592" xr:uid="{00000000-0005-0000-0000-000050020000}"/>
    <cellStyle name="Normal 7 2 3 3" xfId="593" xr:uid="{00000000-0005-0000-0000-000051020000}"/>
    <cellStyle name="Normal 7 2 4" xfId="594" xr:uid="{00000000-0005-0000-0000-000052020000}"/>
    <cellStyle name="Normal 7 2 4 2" xfId="595" xr:uid="{00000000-0005-0000-0000-000053020000}"/>
    <cellStyle name="Normal 7 2 5" xfId="596" xr:uid="{00000000-0005-0000-0000-000054020000}"/>
    <cellStyle name="Normal 7 3" xfId="597" xr:uid="{00000000-0005-0000-0000-000055020000}"/>
    <cellStyle name="Normal 7 3 2" xfId="598" xr:uid="{00000000-0005-0000-0000-000056020000}"/>
    <cellStyle name="Normal 7 3 2 2" xfId="599" xr:uid="{00000000-0005-0000-0000-000057020000}"/>
    <cellStyle name="Normal 7 3 2 2 2" xfId="600" xr:uid="{00000000-0005-0000-0000-000058020000}"/>
    <cellStyle name="Normal 7 3 2 3" xfId="601" xr:uid="{00000000-0005-0000-0000-000059020000}"/>
    <cellStyle name="Normal 7 3 3" xfId="602" xr:uid="{00000000-0005-0000-0000-00005A020000}"/>
    <cellStyle name="Normal 7 3 3 2" xfId="603" xr:uid="{00000000-0005-0000-0000-00005B020000}"/>
    <cellStyle name="Normal 7 3 4" xfId="604" xr:uid="{00000000-0005-0000-0000-00005C020000}"/>
    <cellStyle name="Normal 7 3 5" xfId="993" xr:uid="{633799A0-CF87-4A48-BABE-6B02138919A3}"/>
    <cellStyle name="Normal 7 3 6" xfId="995" xr:uid="{CB161E65-F942-44BE-85AC-303E4CD30CC0}"/>
    <cellStyle name="Normal 7 3 7" xfId="996" xr:uid="{E7EA0D0D-1D1F-4538-AFC9-A631D3AD5B6E}"/>
    <cellStyle name="Normal 7 4" xfId="605" xr:uid="{00000000-0005-0000-0000-00005D020000}"/>
    <cellStyle name="Normal 7 4 2" xfId="606" xr:uid="{00000000-0005-0000-0000-00005E020000}"/>
    <cellStyle name="Normal 7 4 2 2" xfId="607" xr:uid="{00000000-0005-0000-0000-00005F020000}"/>
    <cellStyle name="Normal 7 4 3" xfId="608" xr:uid="{00000000-0005-0000-0000-000060020000}"/>
    <cellStyle name="Normal 7 5" xfId="609" xr:uid="{00000000-0005-0000-0000-000061020000}"/>
    <cellStyle name="Normal 7 5 2" xfId="610" xr:uid="{00000000-0005-0000-0000-000062020000}"/>
    <cellStyle name="Normal 7 6" xfId="611" xr:uid="{00000000-0005-0000-0000-000063020000}"/>
    <cellStyle name="Normal 7_9_OAE" xfId="612" xr:uid="{00000000-0005-0000-0000-000064020000}"/>
    <cellStyle name="Normal 8" xfId="613" xr:uid="{00000000-0005-0000-0000-000065020000}"/>
    <cellStyle name="Normal 8 2" xfId="614" xr:uid="{00000000-0005-0000-0000-000066020000}"/>
    <cellStyle name="Normal 8 2 2" xfId="615" xr:uid="{00000000-0005-0000-0000-000067020000}"/>
    <cellStyle name="Normal 8 2 2 2" xfId="616" xr:uid="{00000000-0005-0000-0000-000068020000}"/>
    <cellStyle name="Normal 8 2 2 2 2" xfId="617" xr:uid="{00000000-0005-0000-0000-000069020000}"/>
    <cellStyle name="Normal 8 2 2 3" xfId="618" xr:uid="{00000000-0005-0000-0000-00006A020000}"/>
    <cellStyle name="Normal 8 2 3" xfId="619" xr:uid="{00000000-0005-0000-0000-00006B020000}"/>
    <cellStyle name="Normal 8 2 3 2" xfId="620" xr:uid="{00000000-0005-0000-0000-00006C020000}"/>
    <cellStyle name="Normal 8 2 4" xfId="621" xr:uid="{00000000-0005-0000-0000-00006D020000}"/>
    <cellStyle name="Normal 8 2 5 2" xfId="622" xr:uid="{00000000-0005-0000-0000-00006E020000}"/>
    <cellStyle name="Normal 8 2 5 2 2" xfId="623" xr:uid="{00000000-0005-0000-0000-00006F020000}"/>
    <cellStyle name="Normal 8 3" xfId="624" xr:uid="{00000000-0005-0000-0000-000070020000}"/>
    <cellStyle name="Normal 8 3 2" xfId="625" xr:uid="{00000000-0005-0000-0000-000071020000}"/>
    <cellStyle name="Normal 8 3 2 2" xfId="626" xr:uid="{00000000-0005-0000-0000-000072020000}"/>
    <cellStyle name="Normal 8 3 3" xfId="627" xr:uid="{00000000-0005-0000-0000-000073020000}"/>
    <cellStyle name="Normal 8 4" xfId="628" xr:uid="{00000000-0005-0000-0000-000074020000}"/>
    <cellStyle name="Normal 8 4 2" xfId="629" xr:uid="{00000000-0005-0000-0000-000075020000}"/>
    <cellStyle name="Normal 8 5" xfId="630" xr:uid="{00000000-0005-0000-0000-000076020000}"/>
    <cellStyle name="Normal 8_9_OAE" xfId="631" xr:uid="{00000000-0005-0000-0000-000077020000}"/>
    <cellStyle name="Normal 9" xfId="632" xr:uid="{00000000-0005-0000-0000-000078020000}"/>
    <cellStyle name="Normal 9 2" xfId="633" xr:uid="{00000000-0005-0000-0000-000079020000}"/>
    <cellStyle name="Normal 9 2 2" xfId="634" xr:uid="{00000000-0005-0000-0000-00007A020000}"/>
    <cellStyle name="Normal 9 2 2 2" xfId="635" xr:uid="{00000000-0005-0000-0000-00007B020000}"/>
    <cellStyle name="Normal 9 2 2 2 2" xfId="636" xr:uid="{00000000-0005-0000-0000-00007C020000}"/>
    <cellStyle name="Normal 9 2 2 3" xfId="637" xr:uid="{00000000-0005-0000-0000-00007D020000}"/>
    <cellStyle name="Normal 9 2 3" xfId="638" xr:uid="{00000000-0005-0000-0000-00007E020000}"/>
    <cellStyle name="Normal 9 2 3 2" xfId="639" xr:uid="{00000000-0005-0000-0000-00007F020000}"/>
    <cellStyle name="Normal 9 2 4" xfId="640" xr:uid="{00000000-0005-0000-0000-000080020000}"/>
    <cellStyle name="Normal 9 3" xfId="641" xr:uid="{00000000-0005-0000-0000-000081020000}"/>
    <cellStyle name="Normal 9 3 2" xfId="642" xr:uid="{00000000-0005-0000-0000-000082020000}"/>
    <cellStyle name="Normal 9 3 2 2" xfId="643" xr:uid="{00000000-0005-0000-0000-000083020000}"/>
    <cellStyle name="Normal 9 3 3" xfId="644" xr:uid="{00000000-0005-0000-0000-000084020000}"/>
    <cellStyle name="Normal 9 4" xfId="645" xr:uid="{00000000-0005-0000-0000-000085020000}"/>
    <cellStyle name="Normal 9 4 2" xfId="646" xr:uid="{00000000-0005-0000-0000-000086020000}"/>
    <cellStyle name="Normal 9 5" xfId="647" xr:uid="{00000000-0005-0000-0000-000087020000}"/>
    <cellStyle name="Normal 9_9_OAE" xfId="648" xr:uid="{00000000-0005-0000-0000-000088020000}"/>
    <cellStyle name="normal plan 1 (2)" xfId="649" xr:uid="{00000000-0005-0000-0000-000089020000}"/>
    <cellStyle name="Normal_Relação de material" xfId="650" xr:uid="{00000000-0005-0000-0000-00008A020000}"/>
    <cellStyle name="Normal_Replanilhamento T-1 - 18-02-08" xfId="994" xr:uid="{175E1322-05C4-4893-AF7F-3886D29BA97B}"/>
    <cellStyle name="Nota 2" xfId="651" xr:uid="{00000000-0005-0000-0000-00008B020000}"/>
    <cellStyle name="Nota 3" xfId="652" xr:uid="{00000000-0005-0000-0000-00008C020000}"/>
    <cellStyle name="Note" xfId="653" xr:uid="{00000000-0005-0000-0000-00008D020000}"/>
    <cellStyle name="Note 10" xfId="654" xr:uid="{00000000-0005-0000-0000-00008E020000}"/>
    <cellStyle name="Note 10 2" xfId="655" xr:uid="{00000000-0005-0000-0000-00008F020000}"/>
    <cellStyle name="Note 11" xfId="656" xr:uid="{00000000-0005-0000-0000-000090020000}"/>
    <cellStyle name="Note 11 2" xfId="657" xr:uid="{00000000-0005-0000-0000-000091020000}"/>
    <cellStyle name="Note 12" xfId="658" xr:uid="{00000000-0005-0000-0000-000092020000}"/>
    <cellStyle name="Note 12 2" xfId="659" xr:uid="{00000000-0005-0000-0000-000093020000}"/>
    <cellStyle name="Note 13" xfId="660" xr:uid="{00000000-0005-0000-0000-000094020000}"/>
    <cellStyle name="Note 13 2" xfId="661" xr:uid="{00000000-0005-0000-0000-000095020000}"/>
    <cellStyle name="Note 14" xfId="662" xr:uid="{00000000-0005-0000-0000-000096020000}"/>
    <cellStyle name="Note 14 2" xfId="663" xr:uid="{00000000-0005-0000-0000-000097020000}"/>
    <cellStyle name="Note 15" xfId="664" xr:uid="{00000000-0005-0000-0000-000098020000}"/>
    <cellStyle name="Note 15 2" xfId="665" xr:uid="{00000000-0005-0000-0000-000099020000}"/>
    <cellStyle name="Note 16" xfId="666" xr:uid="{00000000-0005-0000-0000-00009A020000}"/>
    <cellStyle name="Note 16 2" xfId="667" xr:uid="{00000000-0005-0000-0000-00009B020000}"/>
    <cellStyle name="Note 17" xfId="668" xr:uid="{00000000-0005-0000-0000-00009C020000}"/>
    <cellStyle name="Note 17 2" xfId="669" xr:uid="{00000000-0005-0000-0000-00009D020000}"/>
    <cellStyle name="Note 18" xfId="670" xr:uid="{00000000-0005-0000-0000-00009E020000}"/>
    <cellStyle name="Note 18 2" xfId="671" xr:uid="{00000000-0005-0000-0000-00009F020000}"/>
    <cellStyle name="Note 19" xfId="672" xr:uid="{00000000-0005-0000-0000-0000A0020000}"/>
    <cellStyle name="Note 19 2" xfId="673" xr:uid="{00000000-0005-0000-0000-0000A1020000}"/>
    <cellStyle name="Note 2" xfId="674" xr:uid="{00000000-0005-0000-0000-0000A2020000}"/>
    <cellStyle name="Note 2 2" xfId="675" xr:uid="{00000000-0005-0000-0000-0000A3020000}"/>
    <cellStyle name="Note 20" xfId="676" xr:uid="{00000000-0005-0000-0000-0000A4020000}"/>
    <cellStyle name="Note 20 2" xfId="677" xr:uid="{00000000-0005-0000-0000-0000A5020000}"/>
    <cellStyle name="Note 21" xfId="678" xr:uid="{00000000-0005-0000-0000-0000A6020000}"/>
    <cellStyle name="Note 21 2" xfId="679" xr:uid="{00000000-0005-0000-0000-0000A7020000}"/>
    <cellStyle name="Note 22" xfId="680" xr:uid="{00000000-0005-0000-0000-0000A8020000}"/>
    <cellStyle name="Note 22 2" xfId="681" xr:uid="{00000000-0005-0000-0000-0000A9020000}"/>
    <cellStyle name="Note 23" xfId="682" xr:uid="{00000000-0005-0000-0000-0000AA020000}"/>
    <cellStyle name="Note 23 2" xfId="683" xr:uid="{00000000-0005-0000-0000-0000AB020000}"/>
    <cellStyle name="Note 24" xfId="684" xr:uid="{00000000-0005-0000-0000-0000AC020000}"/>
    <cellStyle name="Note 24 2" xfId="685" xr:uid="{00000000-0005-0000-0000-0000AD020000}"/>
    <cellStyle name="Note 25" xfId="686" xr:uid="{00000000-0005-0000-0000-0000AE020000}"/>
    <cellStyle name="Note 25 2" xfId="687" xr:uid="{00000000-0005-0000-0000-0000AF020000}"/>
    <cellStyle name="Note 26" xfId="688" xr:uid="{00000000-0005-0000-0000-0000B0020000}"/>
    <cellStyle name="Note 26 2" xfId="689" xr:uid="{00000000-0005-0000-0000-0000B1020000}"/>
    <cellStyle name="Note 27" xfId="690" xr:uid="{00000000-0005-0000-0000-0000B2020000}"/>
    <cellStyle name="Note 3" xfId="691" xr:uid="{00000000-0005-0000-0000-0000B3020000}"/>
    <cellStyle name="Note 3 2" xfId="692" xr:uid="{00000000-0005-0000-0000-0000B4020000}"/>
    <cellStyle name="Note 4" xfId="693" xr:uid="{00000000-0005-0000-0000-0000B5020000}"/>
    <cellStyle name="Note 4 2" xfId="694" xr:uid="{00000000-0005-0000-0000-0000B6020000}"/>
    <cellStyle name="Note 5" xfId="695" xr:uid="{00000000-0005-0000-0000-0000B7020000}"/>
    <cellStyle name="Note 5 2" xfId="696" xr:uid="{00000000-0005-0000-0000-0000B8020000}"/>
    <cellStyle name="Note 6" xfId="697" xr:uid="{00000000-0005-0000-0000-0000B9020000}"/>
    <cellStyle name="Note 6 2" xfId="698" xr:uid="{00000000-0005-0000-0000-0000BA020000}"/>
    <cellStyle name="Note 7" xfId="699" xr:uid="{00000000-0005-0000-0000-0000BB020000}"/>
    <cellStyle name="Note 7 2" xfId="700" xr:uid="{00000000-0005-0000-0000-0000BC020000}"/>
    <cellStyle name="Note 8" xfId="701" xr:uid="{00000000-0005-0000-0000-0000BD020000}"/>
    <cellStyle name="Note 8 2" xfId="702" xr:uid="{00000000-0005-0000-0000-0000BE020000}"/>
    <cellStyle name="Note 9" xfId="703" xr:uid="{00000000-0005-0000-0000-0000BF020000}"/>
    <cellStyle name="Note 9 2" xfId="704" xr:uid="{00000000-0005-0000-0000-0000C0020000}"/>
    <cellStyle name="Œ…‹æØ‚è [0.00]_COST_SUM" xfId="705" xr:uid="{00000000-0005-0000-0000-0000C1020000}"/>
    <cellStyle name="Œ…‹æØ‚è_COST_SUM" xfId="706" xr:uid="{00000000-0005-0000-0000-0000C2020000}"/>
    <cellStyle name="Output" xfId="707" xr:uid="{00000000-0005-0000-0000-0000C3020000}"/>
    <cellStyle name="Output 2" xfId="708" xr:uid="{00000000-0005-0000-0000-0000C4020000}"/>
    <cellStyle name="Percent" xfId="709" xr:uid="{00000000-0005-0000-0000-0000C5020000}"/>
    <cellStyle name="Percent 2" xfId="710" xr:uid="{00000000-0005-0000-0000-0000C6020000}"/>
    <cellStyle name="Percent 2 10" xfId="711" xr:uid="{00000000-0005-0000-0000-0000C7020000}"/>
    <cellStyle name="Percent 2 11" xfId="712" xr:uid="{00000000-0005-0000-0000-0000C8020000}"/>
    <cellStyle name="Percent 2 12" xfId="713" xr:uid="{00000000-0005-0000-0000-0000C9020000}"/>
    <cellStyle name="Percent 2 13" xfId="714" xr:uid="{00000000-0005-0000-0000-0000CA020000}"/>
    <cellStyle name="Percent 2 14" xfId="715" xr:uid="{00000000-0005-0000-0000-0000CB020000}"/>
    <cellStyle name="Percent 2 15" xfId="716" xr:uid="{00000000-0005-0000-0000-0000CC020000}"/>
    <cellStyle name="Percent 2 16" xfId="717" xr:uid="{00000000-0005-0000-0000-0000CD020000}"/>
    <cellStyle name="Percent 2 17" xfId="718" xr:uid="{00000000-0005-0000-0000-0000CE020000}"/>
    <cellStyle name="Percent 2 18" xfId="719" xr:uid="{00000000-0005-0000-0000-0000CF020000}"/>
    <cellStyle name="Percent 2 19" xfId="720" xr:uid="{00000000-0005-0000-0000-0000D0020000}"/>
    <cellStyle name="Percent 2 2" xfId="721" xr:uid="{00000000-0005-0000-0000-0000D1020000}"/>
    <cellStyle name="Percent 2 20" xfId="722" xr:uid="{00000000-0005-0000-0000-0000D2020000}"/>
    <cellStyle name="Percent 2 21" xfId="723" xr:uid="{00000000-0005-0000-0000-0000D3020000}"/>
    <cellStyle name="Percent 2 22" xfId="724" xr:uid="{00000000-0005-0000-0000-0000D4020000}"/>
    <cellStyle name="Percent 2 23" xfId="725" xr:uid="{00000000-0005-0000-0000-0000D5020000}"/>
    <cellStyle name="Percent 2 24" xfId="726" xr:uid="{00000000-0005-0000-0000-0000D6020000}"/>
    <cellStyle name="Percent 2 25" xfId="727" xr:uid="{00000000-0005-0000-0000-0000D7020000}"/>
    <cellStyle name="Percent 2 26" xfId="728" xr:uid="{00000000-0005-0000-0000-0000D8020000}"/>
    <cellStyle name="Percent 2 3" xfId="729" xr:uid="{00000000-0005-0000-0000-0000D9020000}"/>
    <cellStyle name="Percent 2 4" xfId="730" xr:uid="{00000000-0005-0000-0000-0000DA020000}"/>
    <cellStyle name="Percent 2 5" xfId="731" xr:uid="{00000000-0005-0000-0000-0000DB020000}"/>
    <cellStyle name="Percent 2 6" xfId="732" xr:uid="{00000000-0005-0000-0000-0000DC020000}"/>
    <cellStyle name="Percent 2 7" xfId="733" xr:uid="{00000000-0005-0000-0000-0000DD020000}"/>
    <cellStyle name="Percent 2 8" xfId="734" xr:uid="{00000000-0005-0000-0000-0000DE020000}"/>
    <cellStyle name="Percent 2 9" xfId="735" xr:uid="{00000000-0005-0000-0000-0000DF020000}"/>
    <cellStyle name="Percentual" xfId="736" xr:uid="{00000000-0005-0000-0000-0000E0020000}"/>
    <cellStyle name="Ponto" xfId="737" xr:uid="{00000000-0005-0000-0000-0000E1020000}"/>
    <cellStyle name="Porcentagem" xfId="738" builtinId="5"/>
    <cellStyle name="Porcentagem 10" xfId="739" xr:uid="{00000000-0005-0000-0000-0000E3020000}"/>
    <cellStyle name="Porcentagem 11" xfId="740" xr:uid="{00000000-0005-0000-0000-0000E4020000}"/>
    <cellStyle name="Porcentagem 12" xfId="741" xr:uid="{00000000-0005-0000-0000-0000E5020000}"/>
    <cellStyle name="Porcentagem 2" xfId="742" xr:uid="{00000000-0005-0000-0000-0000E6020000}"/>
    <cellStyle name="Porcentagem 2 10" xfId="743" xr:uid="{00000000-0005-0000-0000-0000E7020000}"/>
    <cellStyle name="Porcentagem 2 11" xfId="744" xr:uid="{00000000-0005-0000-0000-0000E8020000}"/>
    <cellStyle name="Porcentagem 2 12" xfId="745" xr:uid="{00000000-0005-0000-0000-0000E9020000}"/>
    <cellStyle name="Porcentagem 2 13" xfId="746" xr:uid="{00000000-0005-0000-0000-0000EA020000}"/>
    <cellStyle name="Porcentagem 2 14" xfId="747" xr:uid="{00000000-0005-0000-0000-0000EB020000}"/>
    <cellStyle name="Porcentagem 2 15" xfId="748" xr:uid="{00000000-0005-0000-0000-0000EC020000}"/>
    <cellStyle name="Porcentagem 2 16" xfId="749" xr:uid="{00000000-0005-0000-0000-0000ED020000}"/>
    <cellStyle name="Porcentagem 2 17" xfId="750" xr:uid="{00000000-0005-0000-0000-0000EE020000}"/>
    <cellStyle name="Porcentagem 2 18" xfId="751" xr:uid="{00000000-0005-0000-0000-0000EF020000}"/>
    <cellStyle name="Porcentagem 2 19" xfId="752" xr:uid="{00000000-0005-0000-0000-0000F0020000}"/>
    <cellStyle name="Porcentagem 2 2" xfId="753" xr:uid="{00000000-0005-0000-0000-0000F1020000}"/>
    <cellStyle name="Porcentagem 2 2 10" xfId="754" xr:uid="{00000000-0005-0000-0000-0000F2020000}"/>
    <cellStyle name="Porcentagem 2 2 11" xfId="755" xr:uid="{00000000-0005-0000-0000-0000F3020000}"/>
    <cellStyle name="Porcentagem 2 2 12" xfId="756" xr:uid="{00000000-0005-0000-0000-0000F4020000}"/>
    <cellStyle name="Porcentagem 2 2 13" xfId="757" xr:uid="{00000000-0005-0000-0000-0000F5020000}"/>
    <cellStyle name="Porcentagem 2 2 14" xfId="758" xr:uid="{00000000-0005-0000-0000-0000F6020000}"/>
    <cellStyle name="Porcentagem 2 2 15" xfId="759" xr:uid="{00000000-0005-0000-0000-0000F7020000}"/>
    <cellStyle name="Porcentagem 2 2 16" xfId="760" xr:uid="{00000000-0005-0000-0000-0000F8020000}"/>
    <cellStyle name="Porcentagem 2 2 17" xfId="761" xr:uid="{00000000-0005-0000-0000-0000F9020000}"/>
    <cellStyle name="Porcentagem 2 2 18" xfId="762" xr:uid="{00000000-0005-0000-0000-0000FA020000}"/>
    <cellStyle name="Porcentagem 2 2 19" xfId="763" xr:uid="{00000000-0005-0000-0000-0000FB020000}"/>
    <cellStyle name="Porcentagem 2 2 2" xfId="764" xr:uid="{00000000-0005-0000-0000-0000FC020000}"/>
    <cellStyle name="Porcentagem 2 2 2 2" xfId="765" xr:uid="{00000000-0005-0000-0000-0000FD020000}"/>
    <cellStyle name="Porcentagem 2 2 2 3" xfId="766" xr:uid="{00000000-0005-0000-0000-0000FE020000}"/>
    <cellStyle name="Porcentagem 2 2 2 4" xfId="767" xr:uid="{00000000-0005-0000-0000-0000FF020000}"/>
    <cellStyle name="Porcentagem 2 2 2_9_OAE" xfId="768" xr:uid="{00000000-0005-0000-0000-000000030000}"/>
    <cellStyle name="Porcentagem 2 2 20" xfId="769" xr:uid="{00000000-0005-0000-0000-000001030000}"/>
    <cellStyle name="Porcentagem 2 2 21" xfId="770" xr:uid="{00000000-0005-0000-0000-000002030000}"/>
    <cellStyle name="Porcentagem 2 2 22" xfId="771" xr:uid="{00000000-0005-0000-0000-000003030000}"/>
    <cellStyle name="Porcentagem 2 2 23" xfId="772" xr:uid="{00000000-0005-0000-0000-000004030000}"/>
    <cellStyle name="Porcentagem 2 2 24" xfId="773" xr:uid="{00000000-0005-0000-0000-000005030000}"/>
    <cellStyle name="Porcentagem 2 2 25" xfId="774" xr:uid="{00000000-0005-0000-0000-000006030000}"/>
    <cellStyle name="Porcentagem 2 2 26" xfId="775" xr:uid="{00000000-0005-0000-0000-000007030000}"/>
    <cellStyle name="Porcentagem 2 2 27" xfId="776" xr:uid="{00000000-0005-0000-0000-000008030000}"/>
    <cellStyle name="Porcentagem 2 2 3" xfId="777" xr:uid="{00000000-0005-0000-0000-000009030000}"/>
    <cellStyle name="Porcentagem 2 2 3 2" xfId="778" xr:uid="{00000000-0005-0000-0000-00000A030000}"/>
    <cellStyle name="Porcentagem 2 2 3 3" xfId="779" xr:uid="{00000000-0005-0000-0000-00000B030000}"/>
    <cellStyle name="Porcentagem 2 2 3_9_OAE" xfId="780" xr:uid="{00000000-0005-0000-0000-00000C030000}"/>
    <cellStyle name="Porcentagem 2 2 4" xfId="781" xr:uid="{00000000-0005-0000-0000-00000D030000}"/>
    <cellStyle name="Porcentagem 2 2 4 2" xfId="782" xr:uid="{00000000-0005-0000-0000-00000E030000}"/>
    <cellStyle name="Porcentagem 2 2 4 2 2" xfId="783" xr:uid="{00000000-0005-0000-0000-00000F030000}"/>
    <cellStyle name="Porcentagem 2 2 4 2_9_OAE" xfId="784" xr:uid="{00000000-0005-0000-0000-000010030000}"/>
    <cellStyle name="Porcentagem 2 2 5" xfId="785" xr:uid="{00000000-0005-0000-0000-000011030000}"/>
    <cellStyle name="Porcentagem 2 2 5 2" xfId="786" xr:uid="{00000000-0005-0000-0000-000012030000}"/>
    <cellStyle name="Porcentagem 2 2 6" xfId="787" xr:uid="{00000000-0005-0000-0000-000013030000}"/>
    <cellStyle name="Porcentagem 2 2 7" xfId="788" xr:uid="{00000000-0005-0000-0000-000014030000}"/>
    <cellStyle name="Porcentagem 2 2 8" xfId="789" xr:uid="{00000000-0005-0000-0000-000015030000}"/>
    <cellStyle name="Porcentagem 2 2 9" xfId="790" xr:uid="{00000000-0005-0000-0000-000016030000}"/>
    <cellStyle name="Porcentagem 2 2_9_OAE" xfId="791" xr:uid="{00000000-0005-0000-0000-000017030000}"/>
    <cellStyle name="Porcentagem 2 20" xfId="792" xr:uid="{00000000-0005-0000-0000-000018030000}"/>
    <cellStyle name="Porcentagem 2 21" xfId="793" xr:uid="{00000000-0005-0000-0000-000019030000}"/>
    <cellStyle name="Porcentagem 2 22" xfId="794" xr:uid="{00000000-0005-0000-0000-00001A030000}"/>
    <cellStyle name="Porcentagem 2 23" xfId="795" xr:uid="{00000000-0005-0000-0000-00001B030000}"/>
    <cellStyle name="Porcentagem 2 24" xfId="796" xr:uid="{00000000-0005-0000-0000-00001C030000}"/>
    <cellStyle name="Porcentagem 2 25" xfId="797" xr:uid="{00000000-0005-0000-0000-00001D030000}"/>
    <cellStyle name="Porcentagem 2 26" xfId="798" xr:uid="{00000000-0005-0000-0000-00001E030000}"/>
    <cellStyle name="Porcentagem 2 27" xfId="799" xr:uid="{00000000-0005-0000-0000-00001F030000}"/>
    <cellStyle name="Porcentagem 2 3" xfId="800" xr:uid="{00000000-0005-0000-0000-000020030000}"/>
    <cellStyle name="Porcentagem 2 3 2" xfId="801" xr:uid="{00000000-0005-0000-0000-000021030000}"/>
    <cellStyle name="Porcentagem 2 3 3" xfId="802" xr:uid="{00000000-0005-0000-0000-000022030000}"/>
    <cellStyle name="Porcentagem 2 3_9_OAE" xfId="803" xr:uid="{00000000-0005-0000-0000-000023030000}"/>
    <cellStyle name="Porcentagem 2 4" xfId="804" xr:uid="{00000000-0005-0000-0000-000024030000}"/>
    <cellStyle name="Porcentagem 2 5" xfId="805" xr:uid="{00000000-0005-0000-0000-000025030000}"/>
    <cellStyle name="Porcentagem 2 6" xfId="806" xr:uid="{00000000-0005-0000-0000-000026030000}"/>
    <cellStyle name="Porcentagem 2 6 2" xfId="807" xr:uid="{00000000-0005-0000-0000-000027030000}"/>
    <cellStyle name="Porcentagem 2 7" xfId="808" xr:uid="{00000000-0005-0000-0000-000028030000}"/>
    <cellStyle name="Porcentagem 2 7 2" xfId="809" xr:uid="{00000000-0005-0000-0000-000029030000}"/>
    <cellStyle name="Porcentagem 2 8" xfId="810" xr:uid="{00000000-0005-0000-0000-00002A030000}"/>
    <cellStyle name="Porcentagem 2 8 2" xfId="811" xr:uid="{00000000-0005-0000-0000-00002B030000}"/>
    <cellStyle name="Porcentagem 2 9" xfId="812" xr:uid="{00000000-0005-0000-0000-00002C030000}"/>
    <cellStyle name="Porcentagem 2 9 2" xfId="813" xr:uid="{00000000-0005-0000-0000-00002D030000}"/>
    <cellStyle name="Porcentagem 3" xfId="814" xr:uid="{00000000-0005-0000-0000-00002E030000}"/>
    <cellStyle name="Porcentagem 3 2" xfId="815" xr:uid="{00000000-0005-0000-0000-00002F030000}"/>
    <cellStyle name="Porcentagem 3 2 2" xfId="816" xr:uid="{00000000-0005-0000-0000-000030030000}"/>
    <cellStyle name="Porcentagem 3 2_9_OAE" xfId="817" xr:uid="{00000000-0005-0000-0000-000031030000}"/>
    <cellStyle name="Porcentagem 3 3" xfId="818" xr:uid="{00000000-0005-0000-0000-000032030000}"/>
    <cellStyle name="Porcentagem 3 3 2" xfId="819" xr:uid="{00000000-0005-0000-0000-000033030000}"/>
    <cellStyle name="Porcentagem 3 3_9_OAE" xfId="820" xr:uid="{00000000-0005-0000-0000-000034030000}"/>
    <cellStyle name="Porcentagem 3 4" xfId="821" xr:uid="{00000000-0005-0000-0000-000035030000}"/>
    <cellStyle name="Porcentagem 3 5" xfId="822" xr:uid="{00000000-0005-0000-0000-000036030000}"/>
    <cellStyle name="Porcentagem 3 6" xfId="823" xr:uid="{00000000-0005-0000-0000-000037030000}"/>
    <cellStyle name="Porcentagem 3_9_OAE" xfId="824" xr:uid="{00000000-0005-0000-0000-000038030000}"/>
    <cellStyle name="Porcentagem 4" xfId="825" xr:uid="{00000000-0005-0000-0000-000039030000}"/>
    <cellStyle name="Porcentagem 4 2" xfId="826" xr:uid="{00000000-0005-0000-0000-00003A030000}"/>
    <cellStyle name="Porcentagem 4 2 2" xfId="827" xr:uid="{00000000-0005-0000-0000-00003B030000}"/>
    <cellStyle name="Porcentagem 4 2 2 2" xfId="828" xr:uid="{00000000-0005-0000-0000-00003C030000}"/>
    <cellStyle name="Porcentagem 4 2 2_9_OAE" xfId="829" xr:uid="{00000000-0005-0000-0000-00003D030000}"/>
    <cellStyle name="Porcentagem 4 2 3" xfId="830" xr:uid="{00000000-0005-0000-0000-00003E030000}"/>
    <cellStyle name="Porcentagem 4 2 3 2" xfId="831" xr:uid="{00000000-0005-0000-0000-00003F030000}"/>
    <cellStyle name="Porcentagem 4 2 3_9_OAE" xfId="832" xr:uid="{00000000-0005-0000-0000-000040030000}"/>
    <cellStyle name="Porcentagem 4 2 4" xfId="833" xr:uid="{00000000-0005-0000-0000-000041030000}"/>
    <cellStyle name="Porcentagem 4 2_9_OAE" xfId="834" xr:uid="{00000000-0005-0000-0000-000042030000}"/>
    <cellStyle name="Porcentagem 4 3" xfId="835" xr:uid="{00000000-0005-0000-0000-000043030000}"/>
    <cellStyle name="Porcentagem 4 4" xfId="836" xr:uid="{00000000-0005-0000-0000-000044030000}"/>
    <cellStyle name="Porcentagem 4 4 2" xfId="837" xr:uid="{00000000-0005-0000-0000-000045030000}"/>
    <cellStyle name="Porcentagem 4 5" xfId="838" xr:uid="{00000000-0005-0000-0000-000046030000}"/>
    <cellStyle name="Porcentagem 4 5 2" xfId="839" xr:uid="{00000000-0005-0000-0000-000047030000}"/>
    <cellStyle name="Porcentagem 4 6" xfId="840" xr:uid="{00000000-0005-0000-0000-000048030000}"/>
    <cellStyle name="Porcentagem 4 6 2" xfId="841" xr:uid="{00000000-0005-0000-0000-000049030000}"/>
    <cellStyle name="Porcentagem 4 7" xfId="842" xr:uid="{00000000-0005-0000-0000-00004A030000}"/>
    <cellStyle name="Porcentagem 4 7 2" xfId="843" xr:uid="{00000000-0005-0000-0000-00004B030000}"/>
    <cellStyle name="Porcentagem 4 8" xfId="844" xr:uid="{00000000-0005-0000-0000-00004C030000}"/>
    <cellStyle name="Porcentagem 4 8 2" xfId="845" xr:uid="{00000000-0005-0000-0000-00004D030000}"/>
    <cellStyle name="Porcentagem 4_9_OAE" xfId="846" xr:uid="{00000000-0005-0000-0000-00004E030000}"/>
    <cellStyle name="Porcentagem 5" xfId="847" xr:uid="{00000000-0005-0000-0000-00004F030000}"/>
    <cellStyle name="Porcentagem 5 2" xfId="848" xr:uid="{00000000-0005-0000-0000-000050030000}"/>
    <cellStyle name="Porcentagem 5 2 2" xfId="849" xr:uid="{00000000-0005-0000-0000-000051030000}"/>
    <cellStyle name="Porcentagem 5 2_9_OAE" xfId="850" xr:uid="{00000000-0005-0000-0000-000052030000}"/>
    <cellStyle name="Porcentagem 5 3" xfId="851" xr:uid="{00000000-0005-0000-0000-000053030000}"/>
    <cellStyle name="Porcentagem 5_9_OAE" xfId="852" xr:uid="{00000000-0005-0000-0000-000054030000}"/>
    <cellStyle name="Porcentagem 6" xfId="853" xr:uid="{00000000-0005-0000-0000-000055030000}"/>
    <cellStyle name="Porcentagem 6 2" xfId="854" xr:uid="{00000000-0005-0000-0000-000056030000}"/>
    <cellStyle name="Porcentagem 7" xfId="855" xr:uid="{00000000-0005-0000-0000-000057030000}"/>
    <cellStyle name="Porcentagem 7 2" xfId="856" xr:uid="{00000000-0005-0000-0000-000058030000}"/>
    <cellStyle name="Porcentagem 8" xfId="857" xr:uid="{00000000-0005-0000-0000-000059030000}"/>
    <cellStyle name="Porcentagem 8 2" xfId="858" xr:uid="{00000000-0005-0000-0000-00005A030000}"/>
    <cellStyle name="Porcentagem 9" xfId="859" xr:uid="{00000000-0005-0000-0000-00005B030000}"/>
    <cellStyle name="Result" xfId="860" xr:uid="{00000000-0005-0000-0000-00005C030000}"/>
    <cellStyle name="Result 1" xfId="861" xr:uid="{00000000-0005-0000-0000-00005D030000}"/>
    <cellStyle name="Result 1 2" xfId="862" xr:uid="{00000000-0005-0000-0000-00005E030000}"/>
    <cellStyle name="Result 1_9_OAE" xfId="863" xr:uid="{00000000-0005-0000-0000-00005F030000}"/>
    <cellStyle name="Result 2" xfId="864" xr:uid="{00000000-0005-0000-0000-000060030000}"/>
    <cellStyle name="Result 3" xfId="865" xr:uid="{00000000-0005-0000-0000-000061030000}"/>
    <cellStyle name="Result_9_OAE" xfId="866" xr:uid="{00000000-0005-0000-0000-000062030000}"/>
    <cellStyle name="Result2" xfId="867" xr:uid="{00000000-0005-0000-0000-000063030000}"/>
    <cellStyle name="Result2 1" xfId="868" xr:uid="{00000000-0005-0000-0000-000064030000}"/>
    <cellStyle name="Result2_9_OAE" xfId="869" xr:uid="{00000000-0005-0000-0000-000065030000}"/>
    <cellStyle name="Saída 2" xfId="870" xr:uid="{00000000-0005-0000-0000-000066030000}"/>
    <cellStyle name="Saída 3" xfId="871" xr:uid="{00000000-0005-0000-0000-000067030000}"/>
    <cellStyle name="Separador de m" xfId="872" xr:uid="{00000000-0005-0000-0000-000068030000}"/>
    <cellStyle name="Separador de milhares 10" xfId="873" xr:uid="{00000000-0005-0000-0000-000069030000}"/>
    <cellStyle name="Separador de milhares 2" xfId="874" xr:uid="{00000000-0005-0000-0000-00006A030000}"/>
    <cellStyle name="Separador de milhares 2 10" xfId="875" xr:uid="{00000000-0005-0000-0000-00006B030000}"/>
    <cellStyle name="Separador de milhares 2 11" xfId="876" xr:uid="{00000000-0005-0000-0000-00006C030000}"/>
    <cellStyle name="Separador de milhares 2 12" xfId="877" xr:uid="{00000000-0005-0000-0000-00006D030000}"/>
    <cellStyle name="Separador de milhares 2 13" xfId="878" xr:uid="{00000000-0005-0000-0000-00006E030000}"/>
    <cellStyle name="Separador de milhares 2 14" xfId="879" xr:uid="{00000000-0005-0000-0000-00006F030000}"/>
    <cellStyle name="Separador de milhares 2 15" xfId="880" xr:uid="{00000000-0005-0000-0000-000070030000}"/>
    <cellStyle name="Separador de milhares 2 16" xfId="881" xr:uid="{00000000-0005-0000-0000-000071030000}"/>
    <cellStyle name="Separador de milhares 2 17" xfId="882" xr:uid="{00000000-0005-0000-0000-000072030000}"/>
    <cellStyle name="Separador de milhares 2 18" xfId="883" xr:uid="{00000000-0005-0000-0000-000073030000}"/>
    <cellStyle name="Separador de milhares 2 19" xfId="884" xr:uid="{00000000-0005-0000-0000-000074030000}"/>
    <cellStyle name="Separador de milhares 2 2" xfId="885" xr:uid="{00000000-0005-0000-0000-000075030000}"/>
    <cellStyle name="Separador de milhares 2 2 2" xfId="886" xr:uid="{00000000-0005-0000-0000-000076030000}"/>
    <cellStyle name="Separador de milhares 2 2 3" xfId="887" xr:uid="{00000000-0005-0000-0000-000077030000}"/>
    <cellStyle name="Separador de milhares 2 2 4" xfId="888" xr:uid="{00000000-0005-0000-0000-000078030000}"/>
    <cellStyle name="Separador de milhares 2 20" xfId="889" xr:uid="{00000000-0005-0000-0000-000079030000}"/>
    <cellStyle name="Separador de milhares 2 21" xfId="890" xr:uid="{00000000-0005-0000-0000-00007A030000}"/>
    <cellStyle name="Separador de milhares 2 22" xfId="891" xr:uid="{00000000-0005-0000-0000-00007B030000}"/>
    <cellStyle name="Separador de milhares 2 23" xfId="892" xr:uid="{00000000-0005-0000-0000-00007C030000}"/>
    <cellStyle name="Separador de milhares 2 24" xfId="893" xr:uid="{00000000-0005-0000-0000-00007D030000}"/>
    <cellStyle name="Separador de milhares 2 25" xfId="894" xr:uid="{00000000-0005-0000-0000-00007E030000}"/>
    <cellStyle name="Separador de milhares 2 26" xfId="895" xr:uid="{00000000-0005-0000-0000-00007F030000}"/>
    <cellStyle name="Separador de milhares 2 27" xfId="896" xr:uid="{00000000-0005-0000-0000-000080030000}"/>
    <cellStyle name="Separador de milhares 2 3" xfId="897" xr:uid="{00000000-0005-0000-0000-000081030000}"/>
    <cellStyle name="Separador de milhares 2 3 2" xfId="898" xr:uid="{00000000-0005-0000-0000-000082030000}"/>
    <cellStyle name="Separador de milhares 2 4" xfId="899" xr:uid="{00000000-0005-0000-0000-000083030000}"/>
    <cellStyle name="Separador de milhares 2 5" xfId="900" xr:uid="{00000000-0005-0000-0000-000084030000}"/>
    <cellStyle name="Separador de milhares 2 6" xfId="901" xr:uid="{00000000-0005-0000-0000-000085030000}"/>
    <cellStyle name="Separador de milhares 2 7" xfId="902" xr:uid="{00000000-0005-0000-0000-000086030000}"/>
    <cellStyle name="Separador de milhares 2 8" xfId="903" xr:uid="{00000000-0005-0000-0000-000087030000}"/>
    <cellStyle name="Separador de milhares 2 9" xfId="904" xr:uid="{00000000-0005-0000-0000-000088030000}"/>
    <cellStyle name="Separador de milhares 2_Demonstr. do Orçamento BR-304-RN última" xfId="905" xr:uid="{00000000-0005-0000-0000-000089030000}"/>
    <cellStyle name="Separador de milhares 3" xfId="906" xr:uid="{00000000-0005-0000-0000-00008A030000}"/>
    <cellStyle name="Separador de milhares 3 2" xfId="907" xr:uid="{00000000-0005-0000-0000-00008B030000}"/>
    <cellStyle name="Separador de milhares 3 2 2" xfId="908" xr:uid="{00000000-0005-0000-0000-00008C030000}"/>
    <cellStyle name="Separador de milhares 3 2 2 3 2" xfId="909" xr:uid="{00000000-0005-0000-0000-00008D030000}"/>
    <cellStyle name="Separador de milhares 3 2 3" xfId="910" xr:uid="{00000000-0005-0000-0000-00008E030000}"/>
    <cellStyle name="Separador de milhares 3 2 4" xfId="911" xr:uid="{00000000-0005-0000-0000-00008F030000}"/>
    <cellStyle name="Separador de milhares 3 3" xfId="912" xr:uid="{00000000-0005-0000-0000-000090030000}"/>
    <cellStyle name="Separador de milhares 3 4" xfId="913" xr:uid="{00000000-0005-0000-0000-000091030000}"/>
    <cellStyle name="Separador de milhares 4" xfId="914" xr:uid="{00000000-0005-0000-0000-000092030000}"/>
    <cellStyle name="Separador de milhares 4 2" xfId="915" xr:uid="{00000000-0005-0000-0000-000093030000}"/>
    <cellStyle name="Separador de milhares 4 3" xfId="916" xr:uid="{00000000-0005-0000-0000-000094030000}"/>
    <cellStyle name="Separador de milhares 4 4" xfId="917" xr:uid="{00000000-0005-0000-0000-000095030000}"/>
    <cellStyle name="Separador de milhares 4 5" xfId="918" xr:uid="{00000000-0005-0000-0000-000096030000}"/>
    <cellStyle name="Separador de milhares 5" xfId="919" xr:uid="{00000000-0005-0000-0000-000097030000}"/>
    <cellStyle name="Separador de milhares 5 2" xfId="920" xr:uid="{00000000-0005-0000-0000-000098030000}"/>
    <cellStyle name="Separador de milhares 5 3" xfId="921" xr:uid="{00000000-0005-0000-0000-000099030000}"/>
    <cellStyle name="Separador de milhares 6" xfId="922" xr:uid="{00000000-0005-0000-0000-00009A030000}"/>
    <cellStyle name="Separador de milhares 6 2" xfId="923" xr:uid="{00000000-0005-0000-0000-00009B030000}"/>
    <cellStyle name="Separador de milhares 6 2 2" xfId="924" xr:uid="{00000000-0005-0000-0000-00009C030000}"/>
    <cellStyle name="Separador de milhares 7" xfId="925" xr:uid="{00000000-0005-0000-0000-00009D030000}"/>
    <cellStyle name="Separador de milhares 7 2" xfId="926" xr:uid="{00000000-0005-0000-0000-00009E030000}"/>
    <cellStyle name="Separador de milhares 8" xfId="927" xr:uid="{00000000-0005-0000-0000-00009F030000}"/>
    <cellStyle name="Separador de milhares 9" xfId="928" xr:uid="{00000000-0005-0000-0000-0000A0030000}"/>
    <cellStyle name="Standard_RP100_01 (metr.)" xfId="929" xr:uid="{00000000-0005-0000-0000-0000A1030000}"/>
    <cellStyle name="subhead" xfId="930" xr:uid="{00000000-0005-0000-0000-0000A2030000}"/>
    <cellStyle name="subhead 2" xfId="931" xr:uid="{00000000-0005-0000-0000-0000A3030000}"/>
    <cellStyle name="Texto de Aviso 2" xfId="932" xr:uid="{00000000-0005-0000-0000-0000A4030000}"/>
    <cellStyle name="Texto Explicativo 2" xfId="933" xr:uid="{00000000-0005-0000-0000-0000A5030000}"/>
    <cellStyle name="Title" xfId="934" xr:uid="{00000000-0005-0000-0000-0000A6030000}"/>
    <cellStyle name="Título 1 1" xfId="935" xr:uid="{00000000-0005-0000-0000-0000A7030000}"/>
    <cellStyle name="Título 1 1 1" xfId="936" xr:uid="{00000000-0005-0000-0000-0000A8030000}"/>
    <cellStyle name="Título 1 2" xfId="937" xr:uid="{00000000-0005-0000-0000-0000A9030000}"/>
    <cellStyle name="Título 2 2" xfId="938" xr:uid="{00000000-0005-0000-0000-0000AA030000}"/>
    <cellStyle name="Título 3 2" xfId="939" xr:uid="{00000000-0005-0000-0000-0000AB030000}"/>
    <cellStyle name="Título 4 2" xfId="940" xr:uid="{00000000-0005-0000-0000-0000AC030000}"/>
    <cellStyle name="Titulo1" xfId="941" xr:uid="{00000000-0005-0000-0000-0000AD030000}"/>
    <cellStyle name="Titulo2" xfId="942" xr:uid="{00000000-0005-0000-0000-0000AE030000}"/>
    <cellStyle name="Total 2" xfId="943" xr:uid="{00000000-0005-0000-0000-0000AF030000}"/>
    <cellStyle name="Total 3" xfId="944" xr:uid="{00000000-0005-0000-0000-0000B0030000}"/>
    <cellStyle name="Vírgula" xfId="945" builtinId="3"/>
    <cellStyle name="Vírgula 10" xfId="946" xr:uid="{00000000-0005-0000-0000-0000B2030000}"/>
    <cellStyle name="Vírgula 10 2" xfId="947" xr:uid="{00000000-0005-0000-0000-0000B3030000}"/>
    <cellStyle name="Vírgula 11" xfId="948" xr:uid="{00000000-0005-0000-0000-0000B4030000}"/>
    <cellStyle name="Vírgula 12" xfId="949" xr:uid="{00000000-0005-0000-0000-0000B5030000}"/>
    <cellStyle name="Vírgula 13" xfId="950" xr:uid="{00000000-0005-0000-0000-0000B6030000}"/>
    <cellStyle name="Vírgula 14" xfId="951" xr:uid="{00000000-0005-0000-0000-0000B7030000}"/>
    <cellStyle name="Vírgula 14 2" xfId="952" xr:uid="{00000000-0005-0000-0000-0000B8030000}"/>
    <cellStyle name="Vírgula 15" xfId="953" xr:uid="{00000000-0005-0000-0000-0000B9030000}"/>
    <cellStyle name="Vírgula 16" xfId="954" xr:uid="{00000000-0005-0000-0000-0000BA030000}"/>
    <cellStyle name="Vírgula 17" xfId="955" xr:uid="{00000000-0005-0000-0000-0000BB030000}"/>
    <cellStyle name="Vírgula 18" xfId="956" xr:uid="{00000000-0005-0000-0000-0000BC030000}"/>
    <cellStyle name="Vírgula 2" xfId="957" xr:uid="{00000000-0005-0000-0000-0000BD030000}"/>
    <cellStyle name="Vírgula 2 2" xfId="958" xr:uid="{00000000-0005-0000-0000-0000BE030000}"/>
    <cellStyle name="Vírgula 2 2 2" xfId="959" xr:uid="{00000000-0005-0000-0000-0000BF030000}"/>
    <cellStyle name="Vírgula 2 2 2 2" xfId="960" xr:uid="{00000000-0005-0000-0000-0000C0030000}"/>
    <cellStyle name="Vírgula 2 2 3" xfId="961" xr:uid="{00000000-0005-0000-0000-0000C1030000}"/>
    <cellStyle name="Vírgula 2 2 4" xfId="962" xr:uid="{00000000-0005-0000-0000-0000C2030000}"/>
    <cellStyle name="Vírgula 2 2_9_OAE" xfId="963" xr:uid="{00000000-0005-0000-0000-0000C3030000}"/>
    <cellStyle name="Vírgula 2 3" xfId="964" xr:uid="{00000000-0005-0000-0000-0000C4030000}"/>
    <cellStyle name="Vírgula 2_Memória de Cálculo de Pavimentação" xfId="965" xr:uid="{00000000-0005-0000-0000-0000C5030000}"/>
    <cellStyle name="Vírgula 3" xfId="966" xr:uid="{00000000-0005-0000-0000-0000C6030000}"/>
    <cellStyle name="Vírgula 3 2" xfId="967" xr:uid="{00000000-0005-0000-0000-0000C7030000}"/>
    <cellStyle name="Vírgula 3 2 2" xfId="968" xr:uid="{00000000-0005-0000-0000-0000C8030000}"/>
    <cellStyle name="Vírgula 3 3" xfId="969" xr:uid="{00000000-0005-0000-0000-0000C9030000}"/>
    <cellStyle name="Vírgula 3 4" xfId="970" xr:uid="{00000000-0005-0000-0000-0000CA030000}"/>
    <cellStyle name="Vírgula 3_9_OAE" xfId="971" xr:uid="{00000000-0005-0000-0000-0000CB030000}"/>
    <cellStyle name="Vírgula 4" xfId="972" xr:uid="{00000000-0005-0000-0000-0000CC030000}"/>
    <cellStyle name="Vírgula 4 2" xfId="973" xr:uid="{00000000-0005-0000-0000-0000CD030000}"/>
    <cellStyle name="Vírgula 4 2 2" xfId="974" xr:uid="{00000000-0005-0000-0000-0000CE030000}"/>
    <cellStyle name="Vírgula 4 2 3" xfId="975" xr:uid="{00000000-0005-0000-0000-0000CF030000}"/>
    <cellStyle name="Vírgula 4 2_9_OAE" xfId="976" xr:uid="{00000000-0005-0000-0000-0000D0030000}"/>
    <cellStyle name="Vírgula 4 3" xfId="977" xr:uid="{00000000-0005-0000-0000-0000D1030000}"/>
    <cellStyle name="Vírgula 4_9_OAE" xfId="978" xr:uid="{00000000-0005-0000-0000-0000D2030000}"/>
    <cellStyle name="Vírgula 5" xfId="979" xr:uid="{00000000-0005-0000-0000-0000D3030000}"/>
    <cellStyle name="Vírgula 5 2" xfId="980" xr:uid="{00000000-0005-0000-0000-0000D4030000}"/>
    <cellStyle name="Vírgula 5 3" xfId="981" xr:uid="{00000000-0005-0000-0000-0000D5030000}"/>
    <cellStyle name="Vírgula 5_9_OAE" xfId="982" xr:uid="{00000000-0005-0000-0000-0000D6030000}"/>
    <cellStyle name="Vírgula 6" xfId="983" xr:uid="{00000000-0005-0000-0000-0000D7030000}"/>
    <cellStyle name="Vírgula 6 2" xfId="984" xr:uid="{00000000-0005-0000-0000-0000D8030000}"/>
    <cellStyle name="Vírgula 6 2 2" xfId="985" xr:uid="{00000000-0005-0000-0000-0000D9030000}"/>
    <cellStyle name="Vírgula 6 2 3" xfId="986" xr:uid="{00000000-0005-0000-0000-0000DA030000}"/>
    <cellStyle name="Vírgula 7" xfId="987" xr:uid="{00000000-0005-0000-0000-0000DB030000}"/>
    <cellStyle name="Vírgula 8" xfId="988" xr:uid="{00000000-0005-0000-0000-0000DC030000}"/>
    <cellStyle name="Vírgula 9" xfId="989" xr:uid="{00000000-0005-0000-0000-0000DD030000}"/>
    <cellStyle name="Vírgula 9 2" xfId="990" xr:uid="{00000000-0005-0000-0000-0000DE030000}"/>
    <cellStyle name="Vírgula0" xfId="991" xr:uid="{00000000-0005-0000-0000-0000DF030000}"/>
    <cellStyle name="Warning Text" xfId="992" xr:uid="{00000000-0005-0000-0000-0000E0030000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ite/Downloads/PLAN_2103_033_2022_PONTE%20AGOSTINHO%20GALDINO%20BREDA_R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penge\QUALIDADE\REFERENCIAS%20CUSTO%20SERPENGE\TABELA%20EXCEL%20-%20SERPENGE\COMPOSI&#199;&#213;ES\JANEIRO%202018\M&#227;o%20de%20obra%20Janeiro%202018%20sem%20desonera&#231;&#227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 "/>
      <sheetName val="MEMÓRIA DE CALCULO"/>
      <sheetName val="CRONOGRAMA "/>
      <sheetName val="BDI"/>
      <sheetName val="CURVA ABC"/>
      <sheetName val="COMP_01"/>
      <sheetName val="COMP_02"/>
      <sheetName val="COMP_03"/>
      <sheetName val="COMP_6"/>
      <sheetName val="COMP_7"/>
      <sheetName val="DMT"/>
    </sheetNames>
    <sheetDataSet>
      <sheetData sheetId="0"/>
      <sheetData sheetId="1">
        <row r="55">
          <cell r="D55" t="str">
            <v>Concreto para bombeamento fck = 40 MPa com adição de critalizante (tabuleiro)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1"/>
      <sheetName val="Page 2"/>
    </sheetNames>
    <sheetDataSet>
      <sheetData sheetId="0" refreshError="1">
        <row r="3">
          <cell r="A3">
            <v>20039</v>
          </cell>
          <cell r="B3" t="str">
            <v>Ajudante de carpinteiro</v>
          </cell>
          <cell r="C3" t="str">
            <v>h</v>
          </cell>
          <cell r="D3" t="str">
            <v>11,33</v>
          </cell>
        </row>
        <row r="4">
          <cell r="A4">
            <v>20050</v>
          </cell>
          <cell r="B4" t="str">
            <v>Ajudante de carpinteiro de O.A.C.</v>
          </cell>
          <cell r="C4" t="str">
            <v>h</v>
          </cell>
          <cell r="D4" t="str">
            <v>11,33</v>
          </cell>
        </row>
        <row r="5">
          <cell r="A5">
            <v>20151</v>
          </cell>
          <cell r="B5" t="str">
            <v>Ajudante de eletricista</v>
          </cell>
          <cell r="C5" t="str">
            <v>h</v>
          </cell>
          <cell r="D5" t="str">
            <v>11,33</v>
          </cell>
        </row>
        <row r="6">
          <cell r="A6">
            <v>20061</v>
          </cell>
          <cell r="B6" t="str">
            <v>Ajudante de máquina</v>
          </cell>
          <cell r="C6" t="str">
            <v>h</v>
          </cell>
          <cell r="D6" t="str">
            <v>11,33</v>
          </cell>
        </row>
        <row r="7">
          <cell r="A7">
            <v>20072</v>
          </cell>
          <cell r="B7" t="str">
            <v>Ajudante de pedreiro O.A.C.</v>
          </cell>
          <cell r="C7" t="str">
            <v>h</v>
          </cell>
          <cell r="D7" t="str">
            <v>11,33</v>
          </cell>
        </row>
        <row r="8">
          <cell r="A8">
            <v>20083</v>
          </cell>
          <cell r="B8" t="str">
            <v>Ajudante de pedreiro O.A.E.</v>
          </cell>
          <cell r="C8" t="str">
            <v>h</v>
          </cell>
          <cell r="D8" t="str">
            <v>11,33</v>
          </cell>
        </row>
        <row r="9">
          <cell r="A9">
            <v>20094</v>
          </cell>
          <cell r="B9" t="str">
            <v>Almoxarife</v>
          </cell>
          <cell r="C9" t="str">
            <v>h</v>
          </cell>
          <cell r="D9" t="str">
            <v>18,52</v>
          </cell>
        </row>
        <row r="10">
          <cell r="A10">
            <v>20012</v>
          </cell>
          <cell r="B10" t="str">
            <v>Apontador</v>
          </cell>
          <cell r="C10" t="str">
            <v>h</v>
          </cell>
          <cell r="D10" t="str">
            <v>18,52</v>
          </cell>
        </row>
        <row r="11">
          <cell r="A11">
            <v>20020</v>
          </cell>
          <cell r="B11" t="str">
            <v>Armador</v>
          </cell>
          <cell r="C11" t="str">
            <v>h</v>
          </cell>
          <cell r="D11" t="str">
            <v>13,91</v>
          </cell>
        </row>
        <row r="12">
          <cell r="A12">
            <v>20022</v>
          </cell>
          <cell r="B12" t="str">
            <v>Auxiliar de almoxarife</v>
          </cell>
          <cell r="C12" t="str">
            <v>h</v>
          </cell>
          <cell r="D12" t="str">
            <v>11,33</v>
          </cell>
        </row>
        <row r="13">
          <cell r="A13">
            <v>20027</v>
          </cell>
          <cell r="B13" t="str">
            <v>Auxiliar de serviços gerais</v>
          </cell>
          <cell r="C13" t="str">
            <v>h</v>
          </cell>
          <cell r="D13" t="str">
            <v>11,33</v>
          </cell>
        </row>
        <row r="14">
          <cell r="A14">
            <v>20033</v>
          </cell>
          <cell r="B14" t="str">
            <v>Blaster</v>
          </cell>
          <cell r="C14" t="str">
            <v>h</v>
          </cell>
          <cell r="D14" t="str">
            <v>22,00</v>
          </cell>
        </row>
        <row r="15">
          <cell r="A15">
            <v>20034</v>
          </cell>
          <cell r="B15" t="str">
            <v>Cabo de fogo</v>
          </cell>
          <cell r="C15" t="str">
            <v>h</v>
          </cell>
          <cell r="D15" t="str">
            <v>22,00</v>
          </cell>
        </row>
        <row r="16">
          <cell r="A16">
            <v>20035</v>
          </cell>
          <cell r="B16" t="str">
            <v>Calceteiro</v>
          </cell>
          <cell r="C16" t="str">
            <v>h</v>
          </cell>
          <cell r="D16" t="str">
            <v>13,91</v>
          </cell>
        </row>
        <row r="17">
          <cell r="A17">
            <v>20037</v>
          </cell>
          <cell r="B17" t="str">
            <v>Capataz de ar comprimido</v>
          </cell>
          <cell r="C17" t="str">
            <v>h</v>
          </cell>
          <cell r="D17" t="str">
            <v>26,37</v>
          </cell>
        </row>
        <row r="18">
          <cell r="A18">
            <v>20038</v>
          </cell>
          <cell r="B18" t="str">
            <v>Carpinteiro de O.A.C.</v>
          </cell>
          <cell r="C18" t="str">
            <v>h</v>
          </cell>
          <cell r="D18" t="str">
            <v>13,91</v>
          </cell>
        </row>
        <row r="19">
          <cell r="A19">
            <v>20040</v>
          </cell>
          <cell r="B19" t="str">
            <v>Carpinteiro de O.A.E.</v>
          </cell>
          <cell r="C19" t="str">
            <v>h</v>
          </cell>
          <cell r="D19" t="str">
            <v>18,52</v>
          </cell>
        </row>
        <row r="20">
          <cell r="A20">
            <v>20041</v>
          </cell>
          <cell r="B20" t="str">
            <v>Cavouqueiro</v>
          </cell>
          <cell r="C20" t="str">
            <v>h</v>
          </cell>
          <cell r="D20" t="str">
            <v>13,91</v>
          </cell>
        </row>
        <row r="21">
          <cell r="A21">
            <v>20042</v>
          </cell>
          <cell r="B21" t="str">
            <v>Compressorista</v>
          </cell>
          <cell r="C21" t="str">
            <v>h</v>
          </cell>
          <cell r="D21" t="str">
            <v>13,91</v>
          </cell>
        </row>
        <row r="22">
          <cell r="A22">
            <v>20056</v>
          </cell>
          <cell r="B22" t="str">
            <v>Eletricista</v>
          </cell>
          <cell r="C22" t="str">
            <v>h</v>
          </cell>
          <cell r="D22" t="str">
            <v>13,91</v>
          </cell>
        </row>
        <row r="23">
          <cell r="A23">
            <v>20057</v>
          </cell>
          <cell r="B23" t="str">
            <v>Encarregado de britador</v>
          </cell>
          <cell r="C23" t="str">
            <v>h</v>
          </cell>
          <cell r="D23" t="str">
            <v>26,37</v>
          </cell>
        </row>
        <row r="24">
          <cell r="A24">
            <v>20058</v>
          </cell>
          <cell r="B24" t="str">
            <v>Encarregado de escritório</v>
          </cell>
          <cell r="C24" t="str">
            <v>h</v>
          </cell>
          <cell r="D24" t="str">
            <v>26,37</v>
          </cell>
        </row>
        <row r="25">
          <cell r="A25">
            <v>20059</v>
          </cell>
          <cell r="B25" t="str">
            <v>Encarregado de fundação</v>
          </cell>
          <cell r="C25" t="str">
            <v>h</v>
          </cell>
          <cell r="D25" t="str">
            <v>25,36</v>
          </cell>
        </row>
        <row r="26">
          <cell r="A26">
            <v>20060</v>
          </cell>
          <cell r="B26" t="str">
            <v>Encarregado de O.A.C.</v>
          </cell>
          <cell r="C26" t="str">
            <v>h</v>
          </cell>
          <cell r="D26" t="str">
            <v>25,36</v>
          </cell>
        </row>
        <row r="27">
          <cell r="A27">
            <v>20065</v>
          </cell>
          <cell r="B27" t="str">
            <v>Encarregado de pavimentação</v>
          </cell>
          <cell r="C27" t="str">
            <v>h</v>
          </cell>
          <cell r="D27" t="str">
            <v>25,36</v>
          </cell>
        </row>
        <row r="28">
          <cell r="A28">
            <v>20064</v>
          </cell>
          <cell r="B28" t="str">
            <v>Encarregado de pesagem</v>
          </cell>
          <cell r="C28" t="str">
            <v>h</v>
          </cell>
          <cell r="D28" t="str">
            <v>25,36</v>
          </cell>
        </row>
        <row r="29">
          <cell r="A29">
            <v>20063</v>
          </cell>
          <cell r="B29" t="str">
            <v>Encarregado de pista</v>
          </cell>
          <cell r="C29" t="str">
            <v>h</v>
          </cell>
          <cell r="D29" t="str">
            <v>25,36</v>
          </cell>
        </row>
        <row r="30">
          <cell r="A30">
            <v>20066</v>
          </cell>
          <cell r="B30" t="str">
            <v>Encarregado de protensao</v>
          </cell>
          <cell r="C30" t="str">
            <v>h</v>
          </cell>
          <cell r="D30" t="str">
            <v>26,37</v>
          </cell>
        </row>
        <row r="31">
          <cell r="A31">
            <v>20067</v>
          </cell>
          <cell r="B31" t="str">
            <v>Encarregado de terraplenagem</v>
          </cell>
          <cell r="C31" t="str">
            <v>h</v>
          </cell>
          <cell r="D31" t="str">
            <v>26,37</v>
          </cell>
        </row>
        <row r="32">
          <cell r="A32">
            <v>20068</v>
          </cell>
          <cell r="B32" t="str">
            <v>Encarregado de usina</v>
          </cell>
          <cell r="C32" t="str">
            <v>h</v>
          </cell>
          <cell r="D32" t="str">
            <v>26,37</v>
          </cell>
        </row>
        <row r="33">
          <cell r="A33">
            <v>99301</v>
          </cell>
          <cell r="B33" t="str">
            <v>Encarregado Geral</v>
          </cell>
          <cell r="C33" t="str">
            <v>h</v>
          </cell>
          <cell r="D33" t="str">
            <v>25,36</v>
          </cell>
        </row>
        <row r="34">
          <cell r="A34">
            <v>20062</v>
          </cell>
          <cell r="B34" t="str">
            <v>Encarregado O.A.E.</v>
          </cell>
          <cell r="C34" t="str">
            <v>h</v>
          </cell>
          <cell r="D34" t="str">
            <v>25,36</v>
          </cell>
        </row>
        <row r="35">
          <cell r="A35">
            <v>20081</v>
          </cell>
          <cell r="B35" t="str">
            <v>Escavadeirista</v>
          </cell>
          <cell r="C35" t="str">
            <v>h</v>
          </cell>
          <cell r="D35" t="str">
            <v>18,52</v>
          </cell>
        </row>
        <row r="36">
          <cell r="A36">
            <v>20087</v>
          </cell>
          <cell r="B36" t="str">
            <v>Feitor</v>
          </cell>
          <cell r="C36" t="str">
            <v>h</v>
          </cell>
          <cell r="D36" t="str">
            <v>25,36</v>
          </cell>
        </row>
        <row r="37">
          <cell r="A37">
            <v>20088</v>
          </cell>
          <cell r="B37" t="str">
            <v>Greidista</v>
          </cell>
          <cell r="C37" t="str">
            <v>h</v>
          </cell>
          <cell r="D37" t="str">
            <v>13,91</v>
          </cell>
        </row>
        <row r="38">
          <cell r="A38">
            <v>20157</v>
          </cell>
          <cell r="B38" t="str">
            <v>Laboratorista de Usina</v>
          </cell>
          <cell r="C38" t="str">
            <v>h</v>
          </cell>
          <cell r="D38" t="str">
            <v>56,12</v>
          </cell>
        </row>
        <row r="39">
          <cell r="A39">
            <v>20092</v>
          </cell>
          <cell r="B39" t="str">
            <v>Marroeiro</v>
          </cell>
          <cell r="C39" t="str">
            <v>h</v>
          </cell>
          <cell r="D39" t="str">
            <v>13,91</v>
          </cell>
        </row>
        <row r="40">
          <cell r="A40">
            <v>20093</v>
          </cell>
          <cell r="B40" t="str">
            <v>Marteleteiro</v>
          </cell>
          <cell r="C40" t="str">
            <v>h</v>
          </cell>
          <cell r="D40" t="str">
            <v>13,91</v>
          </cell>
        </row>
        <row r="41">
          <cell r="A41">
            <v>20095</v>
          </cell>
          <cell r="B41" t="str">
            <v>Meio Oficial</v>
          </cell>
          <cell r="C41" t="str">
            <v>h</v>
          </cell>
          <cell r="D41" t="str">
            <v>13,91</v>
          </cell>
        </row>
        <row r="42">
          <cell r="A42">
            <v>20096</v>
          </cell>
          <cell r="B42" t="str">
            <v>Montador</v>
          </cell>
          <cell r="C42" t="str">
            <v>h</v>
          </cell>
          <cell r="D42" t="str">
            <v>22,00</v>
          </cell>
        </row>
        <row r="43">
          <cell r="A43">
            <v>20097</v>
          </cell>
          <cell r="B43" t="str">
            <v>Motorista</v>
          </cell>
          <cell r="C43" t="str">
            <v>h</v>
          </cell>
          <cell r="D43" t="str">
            <v>22,44</v>
          </cell>
        </row>
        <row r="44">
          <cell r="A44">
            <v>20099</v>
          </cell>
          <cell r="B44" t="str">
            <v>Oficial</v>
          </cell>
          <cell r="C44" t="str">
            <v>h</v>
          </cell>
          <cell r="D44" t="str">
            <v>18,52</v>
          </cell>
        </row>
        <row r="45">
          <cell r="A45">
            <v>20100</v>
          </cell>
          <cell r="B45" t="str">
            <v>Operador de bate-estacas</v>
          </cell>
          <cell r="C45" t="str">
            <v>h</v>
          </cell>
          <cell r="D45" t="str">
            <v>18,52</v>
          </cell>
        </row>
        <row r="46">
          <cell r="A46">
            <v>20101</v>
          </cell>
          <cell r="B46" t="str">
            <v>Operador de betoneira</v>
          </cell>
          <cell r="C46" t="str">
            <v>h</v>
          </cell>
          <cell r="D46" t="str">
            <v>17,39</v>
          </cell>
        </row>
        <row r="47">
          <cell r="A47">
            <v>20102</v>
          </cell>
          <cell r="B47" t="str">
            <v>Operador de campânula p/ tubulaçao</v>
          </cell>
          <cell r="C47" t="str">
            <v>h</v>
          </cell>
          <cell r="D47" t="str">
            <v>22,00</v>
          </cell>
        </row>
        <row r="48">
          <cell r="A48">
            <v>20103</v>
          </cell>
          <cell r="B48" t="str">
            <v>Operador de máquina</v>
          </cell>
          <cell r="C48" t="str">
            <v>h</v>
          </cell>
          <cell r="D48" t="str">
            <v>17,39</v>
          </cell>
        </row>
        <row r="49">
          <cell r="A49">
            <v>20104</v>
          </cell>
          <cell r="B49" t="str">
            <v>Operador de protensão</v>
          </cell>
          <cell r="C49" t="str">
            <v>h</v>
          </cell>
          <cell r="D49" t="str">
            <v>22,00</v>
          </cell>
        </row>
        <row r="50">
          <cell r="A50">
            <v>20173</v>
          </cell>
          <cell r="B50" t="str">
            <v>Operador de roçadeira</v>
          </cell>
          <cell r="C50" t="str">
            <v>h</v>
          </cell>
          <cell r="D50" t="str">
            <v>13,91</v>
          </cell>
        </row>
        <row r="51">
          <cell r="A51">
            <v>20106</v>
          </cell>
          <cell r="B51" t="str">
            <v>Operador de usina</v>
          </cell>
          <cell r="C51" t="str">
            <v>h</v>
          </cell>
          <cell r="D51" t="str">
            <v>22,00</v>
          </cell>
        </row>
        <row r="52">
          <cell r="A52">
            <v>20107</v>
          </cell>
          <cell r="B52" t="str">
            <v>Operário braçal</v>
          </cell>
          <cell r="C52" t="str">
            <v>h</v>
          </cell>
          <cell r="D52" t="str">
            <v>11,44</v>
          </cell>
        </row>
        <row r="53">
          <cell r="A53">
            <v>20108</v>
          </cell>
          <cell r="B53" t="str">
            <v>Patrolista</v>
          </cell>
          <cell r="C53" t="str">
            <v>h</v>
          </cell>
          <cell r="D53" t="str">
            <v>17,39</v>
          </cell>
        </row>
        <row r="54">
          <cell r="A54">
            <v>20109</v>
          </cell>
          <cell r="B54" t="str">
            <v>Pedreiro de O.A.C.</v>
          </cell>
          <cell r="C54" t="str">
            <v>h</v>
          </cell>
          <cell r="D54" t="str">
            <v>13,91</v>
          </cell>
        </row>
        <row r="55">
          <cell r="A55">
            <v>20110</v>
          </cell>
          <cell r="B55" t="str">
            <v>Pedreiro de O.A.E.</v>
          </cell>
          <cell r="C55" t="str">
            <v>h</v>
          </cell>
          <cell r="D55" t="str">
            <v>18,52</v>
          </cell>
        </row>
        <row r="56">
          <cell r="A56">
            <v>20111</v>
          </cell>
          <cell r="B56" t="str">
            <v>Pintor</v>
          </cell>
          <cell r="C56" t="str">
            <v>h</v>
          </cell>
          <cell r="D56" t="str">
            <v>13,91</v>
          </cell>
        </row>
        <row r="57">
          <cell r="A57">
            <v>20112</v>
          </cell>
          <cell r="B57" t="str">
            <v>Poceiro</v>
          </cell>
          <cell r="C57" t="str">
            <v>h</v>
          </cell>
          <cell r="D57" t="str">
            <v>13,91</v>
          </cell>
        </row>
        <row r="58">
          <cell r="A58">
            <v>20156</v>
          </cell>
          <cell r="B58" t="str">
            <v>Rasteleiro</v>
          </cell>
          <cell r="C58" t="str">
            <v>h</v>
          </cell>
          <cell r="D58" t="str">
            <v>13,91</v>
          </cell>
        </row>
        <row r="59">
          <cell r="A59">
            <v>20115</v>
          </cell>
          <cell r="B59" t="str">
            <v>Serralheiro</v>
          </cell>
          <cell r="C59" t="str">
            <v>h</v>
          </cell>
          <cell r="D59" t="str">
            <v>18,52</v>
          </cell>
        </row>
        <row r="60">
          <cell r="A60">
            <v>20002</v>
          </cell>
          <cell r="B60" t="str">
            <v>Servente</v>
          </cell>
          <cell r="C60" t="str">
            <v>h</v>
          </cell>
          <cell r="D60" t="str">
            <v>11,44</v>
          </cell>
        </row>
        <row r="61">
          <cell r="A61">
            <v>20003</v>
          </cell>
          <cell r="B61" t="str">
            <v>Serventede usina</v>
          </cell>
          <cell r="C61" t="str">
            <v>h</v>
          </cell>
          <cell r="D61" t="str">
            <v>11,44</v>
          </cell>
        </row>
        <row r="62">
          <cell r="A62">
            <v>20004</v>
          </cell>
          <cell r="B62" t="str">
            <v>Sinaleiro</v>
          </cell>
          <cell r="C62" t="str">
            <v>h</v>
          </cell>
          <cell r="D62" t="str">
            <v>11,22</v>
          </cell>
        </row>
        <row r="63">
          <cell r="A63">
            <v>20005</v>
          </cell>
          <cell r="B63" t="str">
            <v>Soldador</v>
          </cell>
          <cell r="C63" t="str">
            <v>h</v>
          </cell>
          <cell r="D63" t="str">
            <v>22,00</v>
          </cell>
        </row>
        <row r="64">
          <cell r="A64">
            <v>20006</v>
          </cell>
          <cell r="B64" t="str">
            <v>Sondador</v>
          </cell>
          <cell r="C64" t="str">
            <v>h</v>
          </cell>
          <cell r="D64" t="str">
            <v>22,00</v>
          </cell>
        </row>
        <row r="65">
          <cell r="A65">
            <v>20117</v>
          </cell>
          <cell r="B65" t="str">
            <v>Supervisor Técnico de Montagem</v>
          </cell>
          <cell r="C65" t="str">
            <v>h</v>
          </cell>
          <cell r="D65" t="str">
            <v>57,69</v>
          </cell>
        </row>
        <row r="66">
          <cell r="A66">
            <v>20017</v>
          </cell>
          <cell r="B66" t="str">
            <v>Trabalhador sob ar comprimido</v>
          </cell>
          <cell r="C66" t="str">
            <v>h</v>
          </cell>
          <cell r="D66" t="str">
            <v>18,52</v>
          </cell>
        </row>
        <row r="67">
          <cell r="A67">
            <v>20018</v>
          </cell>
          <cell r="B67" t="str">
            <v>Tratorista</v>
          </cell>
          <cell r="C67" t="str">
            <v>h</v>
          </cell>
          <cell r="D67" t="str">
            <v>18,52</v>
          </cell>
        </row>
        <row r="68">
          <cell r="A68">
            <v>20019</v>
          </cell>
          <cell r="B68" t="str">
            <v>Vigia</v>
          </cell>
          <cell r="C68" t="str">
            <v>h</v>
          </cell>
          <cell r="D68" t="str">
            <v>11,22</v>
          </cell>
        </row>
        <row r="69">
          <cell r="A69">
            <v>20000</v>
          </cell>
          <cell r="B69" t="str">
            <v>Administrador de empresas</v>
          </cell>
          <cell r="C69" t="str">
            <v>Mes</v>
          </cell>
          <cell r="D69" t="str">
            <v>14.923,80</v>
          </cell>
        </row>
        <row r="70">
          <cell r="A70">
            <v>20028</v>
          </cell>
          <cell r="B70" t="str">
            <v>Advogado</v>
          </cell>
          <cell r="C70" t="str">
            <v>Mes</v>
          </cell>
          <cell r="D70" t="str">
            <v>15.697,94</v>
          </cell>
        </row>
        <row r="71">
          <cell r="A71">
            <v>20105</v>
          </cell>
          <cell r="B71" t="str">
            <v>Analista de sistemas (júnior)</v>
          </cell>
          <cell r="C71" t="str">
            <v>Mes</v>
          </cell>
          <cell r="D71" t="str">
            <v>15.697,94</v>
          </cell>
        </row>
        <row r="72">
          <cell r="A72">
            <v>20001</v>
          </cell>
          <cell r="B72" t="str">
            <v>Analista de sistemas (sênior)</v>
          </cell>
          <cell r="C72" t="str">
            <v>Mes</v>
          </cell>
          <cell r="D72" t="str">
            <v>24.389,93</v>
          </cell>
        </row>
        <row r="73">
          <cell r="A73">
            <v>20021</v>
          </cell>
          <cell r="B73" t="str">
            <v>Auxiliar de administraçao</v>
          </cell>
          <cell r="C73" t="str">
            <v>Mes</v>
          </cell>
          <cell r="D73" t="str">
            <v>3.437,31</v>
          </cell>
        </row>
        <row r="74">
          <cell r="A74">
            <v>20023</v>
          </cell>
          <cell r="B74" t="str">
            <v>Auxiliar de desenhista</v>
          </cell>
          <cell r="C74" t="str">
            <v>Mes</v>
          </cell>
          <cell r="D74" t="str">
            <v>3.824,40</v>
          </cell>
        </row>
        <row r="75">
          <cell r="A75">
            <v>20025</v>
          </cell>
          <cell r="B75" t="str">
            <v>Auxiliar de escritório</v>
          </cell>
          <cell r="C75" t="str">
            <v>Mes</v>
          </cell>
          <cell r="D75" t="str">
            <v>3.437,31</v>
          </cell>
        </row>
        <row r="76">
          <cell r="A76">
            <v>20026</v>
          </cell>
          <cell r="B76" t="str">
            <v>Auxiliar de laboratório</v>
          </cell>
          <cell r="C76" t="str">
            <v>Mes</v>
          </cell>
          <cell r="D76" t="str">
            <v>3.824,40</v>
          </cell>
        </row>
        <row r="77">
          <cell r="A77">
            <v>100387</v>
          </cell>
          <cell r="B77" t="str">
            <v>Auxiliar de Serviços Gerais</v>
          </cell>
          <cell r="C77" t="str">
            <v>Mes</v>
          </cell>
          <cell r="D77" t="str">
            <v>2.996,55</v>
          </cell>
        </row>
        <row r="78">
          <cell r="A78">
            <v>20029</v>
          </cell>
          <cell r="B78" t="str">
            <v>Auxiliar de topografia</v>
          </cell>
          <cell r="C78" t="str">
            <v>Mes</v>
          </cell>
          <cell r="D78" t="str">
            <v>3.824,40</v>
          </cell>
        </row>
        <row r="79">
          <cell r="A79">
            <v>20031</v>
          </cell>
          <cell r="B79" t="str">
            <v>Auxiliar técnico</v>
          </cell>
          <cell r="C79" t="str">
            <v>Mes</v>
          </cell>
          <cell r="D79" t="str">
            <v>3.824,40</v>
          </cell>
        </row>
        <row r="80">
          <cell r="A80">
            <v>20032</v>
          </cell>
          <cell r="B80" t="str">
            <v>Auxiliar técnico de estradas</v>
          </cell>
          <cell r="C80" t="str">
            <v>Mes</v>
          </cell>
          <cell r="D80" t="str">
            <v>3.824,40</v>
          </cell>
        </row>
        <row r="81">
          <cell r="A81">
            <v>20024</v>
          </cell>
          <cell r="B81" t="str">
            <v>Auxliar de engenharia</v>
          </cell>
          <cell r="C81" t="str">
            <v>Mes</v>
          </cell>
          <cell r="D81" t="str">
            <v>6.378,05</v>
          </cell>
        </row>
        <row r="82">
          <cell r="A82">
            <v>20044</v>
          </cell>
          <cell r="B82" t="str">
            <v>Contador de nível superior</v>
          </cell>
          <cell r="C82" t="str">
            <v>Mes</v>
          </cell>
          <cell r="D82" t="str">
            <v>14.923,80</v>
          </cell>
        </row>
        <row r="83">
          <cell r="A83">
            <v>20048</v>
          </cell>
          <cell r="B83" t="str">
            <v>Desenhista</v>
          </cell>
          <cell r="C83" t="str">
            <v>Mes</v>
          </cell>
          <cell r="D83" t="str">
            <v>6.378,05</v>
          </cell>
        </row>
        <row r="84">
          <cell r="A84">
            <v>20049</v>
          </cell>
          <cell r="B84" t="str">
            <v>Desenhista chefe</v>
          </cell>
          <cell r="C84" t="str">
            <v>Mes</v>
          </cell>
          <cell r="D84" t="str">
            <v>8.433,78</v>
          </cell>
        </row>
        <row r="85">
          <cell r="A85">
            <v>20051</v>
          </cell>
          <cell r="B85" t="str">
            <v>Desenhista projetista</v>
          </cell>
          <cell r="C85" t="str">
            <v>Mes</v>
          </cell>
          <cell r="D85" t="str">
            <v>11.057,47</v>
          </cell>
        </row>
        <row r="86">
          <cell r="A86">
            <v>20052</v>
          </cell>
          <cell r="B86" t="str">
            <v>Digitador</v>
          </cell>
          <cell r="C86" t="str">
            <v>Mes</v>
          </cell>
          <cell r="D86" t="str">
            <v>3.824,40</v>
          </cell>
        </row>
        <row r="87">
          <cell r="A87">
            <v>20054</v>
          </cell>
          <cell r="B87" t="str">
            <v>Economista</v>
          </cell>
          <cell r="C87" t="str">
            <v>Mes</v>
          </cell>
          <cell r="D87" t="str">
            <v>14.923,80</v>
          </cell>
        </row>
        <row r="88">
          <cell r="A88">
            <v>20077</v>
          </cell>
          <cell r="B88" t="str">
            <v>Engenheiro auxiliar</v>
          </cell>
          <cell r="C88" t="str">
            <v>Mes</v>
          </cell>
          <cell r="D88" t="str">
            <v>14.923,80</v>
          </cell>
        </row>
        <row r="89">
          <cell r="A89">
            <v>20073</v>
          </cell>
          <cell r="B89" t="str">
            <v>Engenheiro coordenador</v>
          </cell>
          <cell r="C89" t="str">
            <v>Mes</v>
          </cell>
          <cell r="D89" t="str">
            <v>30.953,17</v>
          </cell>
        </row>
        <row r="90">
          <cell r="A90">
            <v>20070</v>
          </cell>
          <cell r="B90" t="str">
            <v>Engenheiro junior</v>
          </cell>
          <cell r="C90" t="str">
            <v>Mes</v>
          </cell>
          <cell r="D90" t="str">
            <v>15.697,94</v>
          </cell>
        </row>
        <row r="91">
          <cell r="A91">
            <v>20069</v>
          </cell>
          <cell r="B91" t="str">
            <v>Engenheiro pleno</v>
          </cell>
          <cell r="C91" t="str">
            <v>Mes</v>
          </cell>
          <cell r="D91" t="str">
            <v>19.080,84</v>
          </cell>
        </row>
        <row r="92">
          <cell r="A92">
            <v>20079</v>
          </cell>
          <cell r="B92" t="str">
            <v>Engenheiro sênior</v>
          </cell>
          <cell r="C92" t="str">
            <v>Mes</v>
          </cell>
          <cell r="D92" t="str">
            <v>24.389,93</v>
          </cell>
        </row>
        <row r="93">
          <cell r="A93">
            <v>20153</v>
          </cell>
          <cell r="B93" t="str">
            <v>Especialista Ambiental (Coordenador de Estudos)</v>
          </cell>
          <cell r="C93" t="str">
            <v>Mes</v>
          </cell>
          <cell r="D93" t="str">
            <v>30.953,17</v>
          </cell>
        </row>
        <row r="94">
          <cell r="A94">
            <v>20084</v>
          </cell>
          <cell r="B94" t="str">
            <v>Especialista em meio ambiente</v>
          </cell>
          <cell r="C94" t="str">
            <v>Mes</v>
          </cell>
          <cell r="D94" t="str">
            <v>24.389,93</v>
          </cell>
        </row>
        <row r="95">
          <cell r="A95">
            <v>20089</v>
          </cell>
          <cell r="B95" t="str">
            <v>Laboratorista</v>
          </cell>
          <cell r="C95" t="str">
            <v>Mes</v>
          </cell>
          <cell r="D95" t="str">
            <v>6.378,05</v>
          </cell>
        </row>
        <row r="96">
          <cell r="A96">
            <v>20090</v>
          </cell>
          <cell r="B96" t="str">
            <v>Laboratorista auxiliar</v>
          </cell>
          <cell r="C96" t="str">
            <v>Mes</v>
          </cell>
          <cell r="D96" t="str">
            <v>5.119,25</v>
          </cell>
        </row>
        <row r="97">
          <cell r="A97">
            <v>20091</v>
          </cell>
          <cell r="B97" t="str">
            <v>Laboratorista chefe</v>
          </cell>
          <cell r="C97" t="str">
            <v>Mes</v>
          </cell>
          <cell r="D97" t="str">
            <v>8.433,78</v>
          </cell>
        </row>
        <row r="98">
          <cell r="A98">
            <v>20098</v>
          </cell>
          <cell r="B98" t="str">
            <v>Nivelador</v>
          </cell>
          <cell r="C98" t="str">
            <v>Mes</v>
          </cell>
          <cell r="D98" t="str">
            <v>5.119,25</v>
          </cell>
        </row>
        <row r="99">
          <cell r="A99">
            <v>20114</v>
          </cell>
          <cell r="B99" t="str">
            <v>Secretária</v>
          </cell>
          <cell r="C99" t="str">
            <v>Mes</v>
          </cell>
          <cell r="D99" t="str">
            <v>5.320,20</v>
          </cell>
        </row>
        <row r="100">
          <cell r="A100">
            <v>20174</v>
          </cell>
          <cell r="B100" t="str">
            <v>Serventeconsultoria</v>
          </cell>
          <cell r="C100" t="str">
            <v>Mes</v>
          </cell>
          <cell r="D100" t="str">
            <v>2.996,55</v>
          </cell>
        </row>
        <row r="101">
          <cell r="A101">
            <v>20007</v>
          </cell>
          <cell r="B101" t="str">
            <v>Técnico de campo</v>
          </cell>
          <cell r="C101" t="str">
            <v>Mes</v>
          </cell>
          <cell r="D101" t="str">
            <v>3.824,40</v>
          </cell>
        </row>
        <row r="102">
          <cell r="A102">
            <v>20009</v>
          </cell>
          <cell r="B102" t="str">
            <v>Técnico de estradas I</v>
          </cell>
          <cell r="C102" t="str">
            <v>Mes</v>
          </cell>
          <cell r="D102" t="str">
            <v>5.119,25</v>
          </cell>
        </row>
        <row r="103">
          <cell r="A103">
            <v>99872</v>
          </cell>
          <cell r="B103" t="str">
            <v>Técnico de Estradas II</v>
          </cell>
          <cell r="C103" t="str">
            <v>Mes</v>
          </cell>
          <cell r="D103" t="str">
            <v>6.378,05</v>
          </cell>
        </row>
        <row r="104">
          <cell r="A104">
            <v>99873</v>
          </cell>
          <cell r="B104" t="str">
            <v>Técnico de Estradas III</v>
          </cell>
          <cell r="C104" t="str">
            <v>Mes</v>
          </cell>
          <cell r="D104" t="str">
            <v>8.433,78</v>
          </cell>
        </row>
        <row r="105">
          <cell r="A105">
            <v>20008</v>
          </cell>
          <cell r="B105" t="str">
            <v>Técnico de nível médio</v>
          </cell>
          <cell r="C105" t="str">
            <v>Mes</v>
          </cell>
          <cell r="D105" t="str">
            <v>5.119,25</v>
          </cell>
        </row>
        <row r="106">
          <cell r="A106">
            <v>99302</v>
          </cell>
          <cell r="B106" t="str">
            <v>Técnico de Segurança</v>
          </cell>
          <cell r="C106" t="str">
            <v>Mes</v>
          </cell>
          <cell r="D106" t="str">
            <v>8.433,78</v>
          </cell>
        </row>
        <row r="107">
          <cell r="A107">
            <v>20010</v>
          </cell>
          <cell r="B107" t="str">
            <v>Técnico em meio ambiente</v>
          </cell>
          <cell r="C107" t="str">
            <v>Mes</v>
          </cell>
          <cell r="D107" t="str">
            <v>6.378,05</v>
          </cell>
        </row>
        <row r="108">
          <cell r="A108">
            <v>99874</v>
          </cell>
          <cell r="B108" t="str">
            <v>Técnico Especial</v>
          </cell>
          <cell r="C108" t="str">
            <v>Mes</v>
          </cell>
          <cell r="D108" t="str">
            <v>11.057,47</v>
          </cell>
        </row>
        <row r="109">
          <cell r="A109">
            <v>20014</v>
          </cell>
          <cell r="B109" t="str">
            <v>Topógrafo</v>
          </cell>
          <cell r="C109" t="str">
            <v>Mes</v>
          </cell>
          <cell r="D109" t="str">
            <v>6.378,05</v>
          </cell>
        </row>
        <row r="110">
          <cell r="A110">
            <v>20015</v>
          </cell>
          <cell r="B110" t="str">
            <v>Topógrafo auxiliar (nivelador)</v>
          </cell>
          <cell r="C110" t="str">
            <v>Mes</v>
          </cell>
          <cell r="D110" t="str">
            <v>5.119,25</v>
          </cell>
        </row>
        <row r="111">
          <cell r="A111">
            <v>20016</v>
          </cell>
          <cell r="B111" t="str">
            <v>Topógrafo chefe</v>
          </cell>
          <cell r="C111" t="str">
            <v>Mes</v>
          </cell>
          <cell r="D111" t="str">
            <v>8.433,78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  <pageSetUpPr fitToPage="1"/>
  </sheetPr>
  <dimension ref="A1:G27"/>
  <sheetViews>
    <sheetView showGridLines="0" view="pageBreakPreview" zoomScaleNormal="100" zoomScaleSheetLayoutView="100" workbookViewId="0">
      <selection activeCell="G19" sqref="G19"/>
    </sheetView>
  </sheetViews>
  <sheetFormatPr defaultColWidth="10.6640625" defaultRowHeight="15" customHeight="1"/>
  <cols>
    <col min="1" max="1" width="20.6640625" style="4" customWidth="1"/>
    <col min="2" max="2" width="68.5546875" style="4" customWidth="1"/>
    <col min="3" max="3" width="7.88671875" style="4" bestFit="1" customWidth="1"/>
    <col min="4" max="4" width="28.33203125" style="4" customWidth="1"/>
    <col min="5" max="5" width="10.6640625" style="4"/>
    <col min="6" max="6" width="15.88671875" style="4" bestFit="1" customWidth="1"/>
    <col min="7" max="7" width="11.6640625" style="4" bestFit="1" customWidth="1"/>
    <col min="8" max="16384" width="10.6640625" style="4"/>
  </cols>
  <sheetData>
    <row r="1" spans="1:7" ht="15" customHeight="1">
      <c r="A1" s="468"/>
      <c r="B1" s="469"/>
      <c r="C1" s="469"/>
      <c r="D1" s="470"/>
    </row>
    <row r="2" spans="1:7" ht="15" customHeight="1">
      <c r="A2" s="471"/>
      <c r="B2" s="472" t="s">
        <v>23</v>
      </c>
      <c r="C2" s="473"/>
      <c r="D2" s="474"/>
    </row>
    <row r="3" spans="1:7" ht="15" customHeight="1">
      <c r="A3" s="475" t="s">
        <v>86</v>
      </c>
      <c r="B3" s="710" t="s">
        <v>179</v>
      </c>
      <c r="C3" s="710"/>
      <c r="D3" s="711"/>
    </row>
    <row r="4" spans="1:7" ht="11.4" customHeight="1">
      <c r="A4" s="476" t="s">
        <v>85</v>
      </c>
      <c r="B4" s="718" t="s">
        <v>180</v>
      </c>
      <c r="C4" s="718"/>
      <c r="D4" s="719"/>
    </row>
    <row r="5" spans="1:7" ht="11.4" customHeight="1">
      <c r="A5" s="478"/>
      <c r="B5" s="479"/>
      <c r="C5" s="477"/>
      <c r="D5" s="480"/>
    </row>
    <row r="6" spans="1:7" ht="15" customHeight="1">
      <c r="A6" s="476" t="s">
        <v>125</v>
      </c>
      <c r="B6" s="481" t="s">
        <v>134</v>
      </c>
      <c r="C6" s="481"/>
      <c r="D6" s="482"/>
    </row>
    <row r="7" spans="1:7" ht="19.2" customHeight="1" thickBot="1">
      <c r="A7" s="483" t="s">
        <v>87</v>
      </c>
      <c r="B7" s="712">
        <f>'PLANILHA '!F3</f>
        <v>45393</v>
      </c>
      <c r="C7" s="713"/>
      <c r="D7" s="484"/>
    </row>
    <row r="8" spans="1:7" ht="15" customHeight="1">
      <c r="A8" s="720" t="s">
        <v>2</v>
      </c>
      <c r="B8" s="714" t="s">
        <v>13</v>
      </c>
      <c r="C8" s="714" t="s">
        <v>32</v>
      </c>
      <c r="D8" s="716" t="s">
        <v>26</v>
      </c>
    </row>
    <row r="9" spans="1:7" ht="15" customHeight="1">
      <c r="A9" s="721"/>
      <c r="B9" s="715"/>
      <c r="C9" s="715"/>
      <c r="D9" s="717"/>
    </row>
    <row r="10" spans="1:7" ht="15" customHeight="1">
      <c r="A10" s="701" t="str">
        <f>'PLANILHA '!A11</f>
        <v>1</v>
      </c>
      <c r="B10" s="703" t="str">
        <f>'PLANILHA '!D11</f>
        <v>SERVIÇOS PRELIMINARES</v>
      </c>
      <c r="C10" s="705">
        <f>D10/$D$24</f>
        <v>5.4439615423080824E-2</v>
      </c>
      <c r="D10" s="699">
        <f>'PLANILHA '!I11</f>
        <v>287701.69712894002</v>
      </c>
    </row>
    <row r="11" spans="1:7" ht="15" customHeight="1">
      <c r="A11" s="702"/>
      <c r="B11" s="704"/>
      <c r="C11" s="706"/>
      <c r="D11" s="700"/>
    </row>
    <row r="12" spans="1:7" ht="13.2">
      <c r="A12" s="701" t="str">
        <f>'PLANILHA '!A14</f>
        <v>2</v>
      </c>
      <c r="B12" s="703" t="str">
        <f>'PLANILHA '!D14</f>
        <v>CANTEIRO DE OBRA</v>
      </c>
      <c r="C12" s="705">
        <f>D12/$D$24</f>
        <v>0.1063319966923591</v>
      </c>
      <c r="D12" s="699">
        <f>'PLANILHA '!I14</f>
        <v>561941.80781318434</v>
      </c>
    </row>
    <row r="13" spans="1:7" ht="15" customHeight="1">
      <c r="A13" s="702"/>
      <c r="B13" s="704"/>
      <c r="C13" s="706"/>
      <c r="D13" s="700"/>
    </row>
    <row r="14" spans="1:7" ht="13.2">
      <c r="A14" s="701">
        <f>'PLANILHA '!A35</f>
        <v>3</v>
      </c>
      <c r="B14" s="703" t="str">
        <f>'PLANILHA '!D35</f>
        <v>SUPERESTRUTURA PONTE OAE</v>
      </c>
      <c r="C14" s="705">
        <f>D14/$D$24</f>
        <v>0.70997566228150288</v>
      </c>
      <c r="D14" s="699">
        <f>'PLANILHA '!I35</f>
        <v>3752069.1755664148</v>
      </c>
      <c r="F14"/>
    </row>
    <row r="15" spans="1:7" ht="15" customHeight="1">
      <c r="A15" s="702"/>
      <c r="B15" s="704"/>
      <c r="C15" s="706"/>
      <c r="D15" s="700"/>
      <c r="G15"/>
    </row>
    <row r="16" spans="1:7" ht="13.2">
      <c r="A16" s="701" t="str">
        <f>'PLANILHA '!A68</f>
        <v>4</v>
      </c>
      <c r="B16" s="703" t="str">
        <f>'PLANILHA '!D68</f>
        <v>MESOESTRUTURA PONTE OAE</v>
      </c>
      <c r="C16" s="705">
        <f>D16/$D$24</f>
        <v>3.4918688818014271E-2</v>
      </c>
      <c r="D16" s="699">
        <f>'PLANILHA '!I68</f>
        <v>184537.78478017612</v>
      </c>
    </row>
    <row r="17" spans="1:5" ht="13.2">
      <c r="A17" s="702"/>
      <c r="B17" s="704"/>
      <c r="C17" s="706"/>
      <c r="D17" s="700"/>
    </row>
    <row r="18" spans="1:5" ht="13.2">
      <c r="A18" s="707" t="str">
        <f>'PLANILHA '!A85</f>
        <v>5</v>
      </c>
      <c r="B18" s="708" t="str">
        <f>'PLANILHA '!D85</f>
        <v>MURO DE CONTENÇÃO</v>
      </c>
      <c r="C18" s="705">
        <f>D18/$D$24</f>
        <v>8.5093477392167317E-3</v>
      </c>
      <c r="D18" s="709">
        <f>'PLANILHA '!I85</f>
        <v>44970.078627613089</v>
      </c>
    </row>
    <row r="19" spans="1:5" ht="13.2">
      <c r="A19" s="701"/>
      <c r="B19" s="703"/>
      <c r="C19" s="706"/>
      <c r="D19" s="699"/>
    </row>
    <row r="20" spans="1:5" ht="13.2">
      <c r="A20" s="707" t="str">
        <f>'PLANILHA '!A99</f>
        <v>6</v>
      </c>
      <c r="B20" s="708" t="str">
        <f>'PLANILHA '!D99</f>
        <v xml:space="preserve">SINALIZAÇÃO </v>
      </c>
      <c r="C20" s="705">
        <f>D20/$D$24</f>
        <v>2.049148033473162E-2</v>
      </c>
      <c r="D20" s="709">
        <f>'PLANILHA '!I99</f>
        <v>108293.08074955823</v>
      </c>
    </row>
    <row r="21" spans="1:5" ht="13.2">
      <c r="A21" s="701"/>
      <c r="B21" s="703"/>
      <c r="C21" s="706"/>
      <c r="D21" s="699"/>
    </row>
    <row r="22" spans="1:5" ht="13.2">
      <c r="A22" s="701" t="str">
        <f>'PLANILHA '!A110</f>
        <v>7</v>
      </c>
      <c r="B22" s="703" t="str">
        <f>'PLANILHA '!D110</f>
        <v xml:space="preserve">ADMINISTRAÇÃO LOCAL </v>
      </c>
      <c r="C22" s="705">
        <f>D22/$D$24</f>
        <v>6.5333208711094493E-2</v>
      </c>
      <c r="D22" s="699">
        <f>'PLANILHA '!I110</f>
        <v>345272.00236414553</v>
      </c>
    </row>
    <row r="23" spans="1:5" ht="13.2">
      <c r="A23" s="702"/>
      <c r="B23" s="704"/>
      <c r="C23" s="706"/>
      <c r="D23" s="700"/>
    </row>
    <row r="24" spans="1:5" ht="16.2" thickBot="1">
      <c r="A24" s="485" t="s">
        <v>22</v>
      </c>
      <c r="B24" s="486" t="s">
        <v>24</v>
      </c>
      <c r="C24" s="487">
        <f>SUM(C10:C23)</f>
        <v>0.99999999999999989</v>
      </c>
      <c r="D24" s="488">
        <f>SUM(D10:D23)</f>
        <v>5284785.6270300327</v>
      </c>
    </row>
    <row r="25" spans="1:5" ht="15" customHeight="1">
      <c r="C25" s="18"/>
      <c r="D25" s="19">
        <f>SUM(D12:D23)</f>
        <v>4997083.9299010923</v>
      </c>
      <c r="E25" s="20"/>
    </row>
    <row r="26" spans="1:5" ht="15" customHeight="1">
      <c r="C26" s="18"/>
      <c r="D26" s="18"/>
      <c r="E26" s="18"/>
    </row>
    <row r="27" spans="1:5" ht="15" customHeight="1">
      <c r="C27" s="18"/>
      <c r="D27" s="18"/>
      <c r="E27" s="18"/>
    </row>
  </sheetData>
  <mergeCells count="35">
    <mergeCell ref="C10:C11"/>
    <mergeCell ref="B20:B21"/>
    <mergeCell ref="C20:C21"/>
    <mergeCell ref="B3:D3"/>
    <mergeCell ref="A14:A15"/>
    <mergeCell ref="B7:C7"/>
    <mergeCell ref="C8:C9"/>
    <mergeCell ref="B8:B9"/>
    <mergeCell ref="D8:D9"/>
    <mergeCell ref="C12:C13"/>
    <mergeCell ref="C14:C15"/>
    <mergeCell ref="A12:A13"/>
    <mergeCell ref="B4:D4"/>
    <mergeCell ref="B14:B15"/>
    <mergeCell ref="A8:A9"/>
    <mergeCell ref="B12:B13"/>
    <mergeCell ref="D14:D15"/>
    <mergeCell ref="D12:D13"/>
    <mergeCell ref="A10:A11"/>
    <mergeCell ref="D10:D11"/>
    <mergeCell ref="A22:A23"/>
    <mergeCell ref="D22:D23"/>
    <mergeCell ref="B16:B17"/>
    <mergeCell ref="C16:C17"/>
    <mergeCell ref="C22:C23"/>
    <mergeCell ref="A16:A17"/>
    <mergeCell ref="B22:B23"/>
    <mergeCell ref="D16:D17"/>
    <mergeCell ref="A18:A19"/>
    <mergeCell ref="B18:B19"/>
    <mergeCell ref="C18:C19"/>
    <mergeCell ref="D18:D19"/>
    <mergeCell ref="A20:A21"/>
    <mergeCell ref="D20:D21"/>
    <mergeCell ref="B10:B11"/>
  </mergeCells>
  <printOptions horizontalCentered="1"/>
  <pageMargins left="0.59055118110236227" right="0.59055118110236227" top="0.98425196850393704" bottom="0.59055118110236227" header="0" footer="0"/>
  <pageSetup paperSize="9" fitToWidth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8DE45-4AAE-4A9D-8B97-50DA3536850F}">
  <sheetPr>
    <tabColor theme="4" tint="-0.249977111117893"/>
    <pageSetUpPr fitToPage="1"/>
  </sheetPr>
  <dimension ref="A1:L31"/>
  <sheetViews>
    <sheetView showGridLines="0" view="pageBreakPreview" topLeftCell="A4" zoomScale="80" zoomScaleNormal="100" zoomScaleSheetLayoutView="80" workbookViewId="0">
      <selection activeCell="L31" sqref="L31"/>
    </sheetView>
  </sheetViews>
  <sheetFormatPr defaultColWidth="10.6640625" defaultRowHeight="15" customHeight="1"/>
  <cols>
    <col min="1" max="1" width="12.6640625" style="164" customWidth="1"/>
    <col min="2" max="2" width="9.33203125" style="164" bestFit="1" customWidth="1"/>
    <col min="3" max="3" width="43.88671875" style="164" customWidth="1"/>
    <col min="4" max="4" width="9.109375" style="164" customWidth="1"/>
    <col min="5" max="5" width="6.6640625" style="164" customWidth="1"/>
    <col min="6" max="6" width="6.5546875" style="164" customWidth="1"/>
    <col min="7" max="7" width="8.6640625" style="164" customWidth="1"/>
    <col min="8" max="9" width="8.6640625" style="164" bestFit="1" customWidth="1"/>
    <col min="10" max="10" width="10.88671875" style="164" customWidth="1"/>
    <col min="11" max="11" width="11.5546875" style="164" customWidth="1"/>
    <col min="12" max="12" width="15.6640625" style="164" customWidth="1"/>
    <col min="13" max="16384" width="10.6640625" style="164"/>
  </cols>
  <sheetData>
    <row r="1" spans="1:12" ht="57" customHeight="1" thickBot="1">
      <c r="A1" s="999" t="s">
        <v>89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  <c r="L1" s="1001"/>
    </row>
    <row r="2" spans="1:12" ht="15" customHeight="1">
      <c r="A2" s="1002" t="s">
        <v>139</v>
      </c>
      <c r="B2" s="1003"/>
      <c r="C2" s="1004" t="str">
        <f>'[1]PLANILHA '!D55</f>
        <v>Concreto para bombeamento fck = 40 MPa com adição de critalizante (tabuleiro)</v>
      </c>
      <c r="D2" s="1005"/>
      <c r="E2" s="1005"/>
      <c r="F2" s="1005"/>
      <c r="G2" s="1005"/>
      <c r="H2" s="1005"/>
      <c r="I2" s="1005"/>
      <c r="J2" s="1005"/>
      <c r="K2" s="1005"/>
      <c r="L2" s="1006"/>
    </row>
    <row r="3" spans="1:12" ht="15" customHeight="1" thickBot="1">
      <c r="A3" s="898" t="s">
        <v>659</v>
      </c>
      <c r="B3" s="899"/>
      <c r="C3" s="900"/>
      <c r="D3" s="1007" t="s">
        <v>144</v>
      </c>
      <c r="E3" s="1007"/>
      <c r="F3" s="1007"/>
      <c r="G3" s="1007"/>
      <c r="H3" s="1007"/>
      <c r="I3" s="1007"/>
      <c r="J3" s="1007" t="s">
        <v>160</v>
      </c>
      <c r="K3" s="1007"/>
      <c r="L3" s="1008"/>
    </row>
    <row r="4" spans="1:12" ht="11.4" customHeight="1">
      <c r="A4" s="996" t="s">
        <v>9</v>
      </c>
      <c r="B4" s="997" t="s">
        <v>90</v>
      </c>
      <c r="C4" s="998" t="s">
        <v>38</v>
      </c>
      <c r="D4" s="998" t="s">
        <v>91</v>
      </c>
      <c r="E4" s="998" t="s">
        <v>82</v>
      </c>
      <c r="F4" s="998"/>
      <c r="G4" s="998"/>
      <c r="H4" s="998"/>
      <c r="I4" s="998"/>
      <c r="J4" s="998" t="s">
        <v>36</v>
      </c>
      <c r="K4" s="998"/>
      <c r="L4" s="1014"/>
    </row>
    <row r="5" spans="1:12" ht="13.2">
      <c r="A5" s="996"/>
      <c r="B5" s="997"/>
      <c r="C5" s="998"/>
      <c r="D5" s="998"/>
      <c r="E5" s="998" t="s">
        <v>92</v>
      </c>
      <c r="F5" s="998"/>
      <c r="G5" s="998"/>
      <c r="H5" s="230" t="s">
        <v>93</v>
      </c>
      <c r="I5" s="231" t="s">
        <v>94</v>
      </c>
      <c r="J5" s="230" t="s">
        <v>143</v>
      </c>
      <c r="K5" s="230" t="s">
        <v>95</v>
      </c>
      <c r="L5" s="596" t="s">
        <v>96</v>
      </c>
    </row>
    <row r="6" spans="1:12" ht="26.4">
      <c r="A6" s="597">
        <v>30071</v>
      </c>
      <c r="B6" s="172" t="s">
        <v>394</v>
      </c>
      <c r="C6" s="180" t="s">
        <v>642</v>
      </c>
      <c r="D6" s="58"/>
      <c r="E6" s="987">
        <v>3.6888000000000001</v>
      </c>
      <c r="F6" s="987"/>
      <c r="G6" s="987"/>
      <c r="H6" s="684">
        <v>1</v>
      </c>
      <c r="I6" s="684">
        <v>0</v>
      </c>
      <c r="J6" s="179">
        <v>19.309999999999999</v>
      </c>
      <c r="K6" s="179">
        <v>16.38</v>
      </c>
      <c r="L6" s="598">
        <f>((H6*J6)+(I6*K6))*E6</f>
        <v>71.230727999999999</v>
      </c>
    </row>
    <row r="7" spans="1:12" ht="13.2">
      <c r="A7" s="581"/>
      <c r="B7" s="178"/>
      <c r="C7" s="177"/>
      <c r="D7" s="56"/>
      <c r="E7" s="995"/>
      <c r="F7" s="995"/>
      <c r="G7" s="995"/>
      <c r="H7" s="176"/>
      <c r="I7" s="176"/>
      <c r="J7" s="176"/>
      <c r="K7" s="176"/>
      <c r="L7" s="599"/>
    </row>
    <row r="8" spans="1:12" ht="15" customHeight="1">
      <c r="A8" s="963" t="s">
        <v>97</v>
      </c>
      <c r="B8" s="964"/>
      <c r="C8" s="965"/>
      <c r="D8" s="965"/>
      <c r="E8" s="965"/>
      <c r="F8" s="965"/>
      <c r="G8" s="965"/>
      <c r="H8" s="965"/>
      <c r="I8" s="965"/>
      <c r="J8" s="965"/>
      <c r="K8" s="965"/>
      <c r="L8" s="600">
        <f>SUM(L6:L7)</f>
        <v>71.230727999999999</v>
      </c>
    </row>
    <row r="9" spans="1:12" ht="26.4">
      <c r="A9" s="601" t="s">
        <v>9</v>
      </c>
      <c r="B9" s="173" t="s">
        <v>90</v>
      </c>
      <c r="C9" s="171" t="s">
        <v>98</v>
      </c>
      <c r="D9" s="171" t="s">
        <v>140</v>
      </c>
      <c r="E9" s="1020" t="s">
        <v>11</v>
      </c>
      <c r="F9" s="1021"/>
      <c r="G9" s="1021"/>
      <c r="H9" s="1021"/>
      <c r="I9" s="1022"/>
      <c r="J9" s="1020" t="s">
        <v>141</v>
      </c>
      <c r="K9" s="1022"/>
      <c r="L9" s="602" t="s">
        <v>99</v>
      </c>
    </row>
    <row r="10" spans="1:12" ht="15" customHeight="1">
      <c r="A10" s="603">
        <v>20109</v>
      </c>
      <c r="B10" s="172" t="s">
        <v>394</v>
      </c>
      <c r="C10" s="174" t="s">
        <v>643</v>
      </c>
      <c r="D10" s="170" t="s">
        <v>83</v>
      </c>
      <c r="E10" s="961">
        <v>1</v>
      </c>
      <c r="F10" s="961"/>
      <c r="G10" s="961"/>
      <c r="H10" s="961"/>
      <c r="I10" s="961"/>
      <c r="J10" s="962">
        <v>19.16</v>
      </c>
      <c r="K10" s="962"/>
      <c r="L10" s="604">
        <f>ROUND(J10*E10,2)</f>
        <v>19.16</v>
      </c>
    </row>
    <row r="11" spans="1:12" ht="15" customHeight="1">
      <c r="A11" s="603">
        <v>20002</v>
      </c>
      <c r="B11" s="172" t="s">
        <v>394</v>
      </c>
      <c r="C11" s="174" t="s">
        <v>158</v>
      </c>
      <c r="D11" s="170" t="s">
        <v>83</v>
      </c>
      <c r="E11" s="961">
        <v>4</v>
      </c>
      <c r="F11" s="961"/>
      <c r="G11" s="961"/>
      <c r="H11" s="961"/>
      <c r="I11" s="961"/>
      <c r="J11" s="962">
        <v>15.45</v>
      </c>
      <c r="K11" s="962"/>
      <c r="L11" s="604">
        <f>ROUND(J11*E11,2)</f>
        <v>61.8</v>
      </c>
    </row>
    <row r="12" spans="1:12" ht="13.2">
      <c r="A12" s="605"/>
      <c r="B12" s="178"/>
      <c r="C12" s="228"/>
      <c r="D12" s="178"/>
      <c r="E12" s="1015"/>
      <c r="F12" s="1016"/>
      <c r="G12" s="1016"/>
      <c r="H12" s="1016"/>
      <c r="I12" s="1017"/>
      <c r="J12" s="1018"/>
      <c r="K12" s="1019"/>
      <c r="L12" s="606"/>
    </row>
    <row r="13" spans="1:12" ht="13.95" customHeight="1" thickBot="1">
      <c r="A13" s="963" t="s">
        <v>100</v>
      </c>
      <c r="B13" s="964"/>
      <c r="C13" s="965"/>
      <c r="D13" s="965"/>
      <c r="E13" s="965"/>
      <c r="F13" s="965"/>
      <c r="G13" s="965"/>
      <c r="H13" s="965"/>
      <c r="I13" s="965"/>
      <c r="J13" s="965"/>
      <c r="K13" s="965"/>
      <c r="L13" s="600">
        <f>SUM(L10:L12)</f>
        <v>80.959999999999994</v>
      </c>
    </row>
    <row r="14" spans="1:12" ht="13.8" thickBot="1">
      <c r="A14" s="992" t="s">
        <v>101</v>
      </c>
      <c r="B14" s="993"/>
      <c r="C14" s="993"/>
      <c r="D14" s="993"/>
      <c r="E14" s="993"/>
      <c r="F14" s="993"/>
      <c r="G14" s="993"/>
      <c r="H14" s="993"/>
      <c r="I14" s="993"/>
      <c r="J14" s="993"/>
      <c r="K14" s="994"/>
      <c r="L14" s="607">
        <f>TRUNC(L13*0.05,2)</f>
        <v>4.04</v>
      </c>
    </row>
    <row r="15" spans="1:12" ht="13.8" thickBot="1">
      <c r="A15" s="963" t="s">
        <v>102</v>
      </c>
      <c r="B15" s="964"/>
      <c r="C15" s="965"/>
      <c r="D15" s="965"/>
      <c r="E15" s="965"/>
      <c r="F15" s="965"/>
      <c r="G15" s="965"/>
      <c r="H15" s="965"/>
      <c r="I15" s="965"/>
      <c r="J15" s="965"/>
      <c r="K15" s="965"/>
      <c r="L15" s="600">
        <v>33.200000000000003</v>
      </c>
    </row>
    <row r="16" spans="1:12" ht="13.8" thickBot="1">
      <c r="A16" s="992" t="s">
        <v>103</v>
      </c>
      <c r="B16" s="993"/>
      <c r="C16" s="993"/>
      <c r="D16" s="993"/>
      <c r="E16" s="993"/>
      <c r="F16" s="993"/>
      <c r="G16" s="993"/>
      <c r="H16" s="993"/>
      <c r="I16" s="993"/>
      <c r="J16" s="993"/>
      <c r="K16" s="994"/>
      <c r="L16" s="607">
        <f>TRUNC((L8+L13+L14)/L15,2)</f>
        <v>4.7</v>
      </c>
    </row>
    <row r="17" spans="1:12" ht="26.4">
      <c r="A17" s="608" t="s">
        <v>9</v>
      </c>
      <c r="B17" s="225" t="s">
        <v>90</v>
      </c>
      <c r="C17" s="226" t="s">
        <v>104</v>
      </c>
      <c r="D17" s="226" t="s">
        <v>28</v>
      </c>
      <c r="E17" s="972" t="s">
        <v>105</v>
      </c>
      <c r="F17" s="973"/>
      <c r="G17" s="973"/>
      <c r="H17" s="973"/>
      <c r="I17" s="974"/>
      <c r="J17" s="972" t="s">
        <v>106</v>
      </c>
      <c r="K17" s="974"/>
      <c r="L17" s="609" t="s">
        <v>37</v>
      </c>
    </row>
    <row r="18" spans="1:12" ht="13.2">
      <c r="A18" s="603">
        <v>10097</v>
      </c>
      <c r="B18" s="172" t="s">
        <v>394</v>
      </c>
      <c r="C18" s="227" t="s">
        <v>644</v>
      </c>
      <c r="D18" s="170" t="s">
        <v>147</v>
      </c>
      <c r="E18" s="969">
        <v>1</v>
      </c>
      <c r="F18" s="969"/>
      <c r="G18" s="969"/>
      <c r="H18" s="969"/>
      <c r="I18" s="969"/>
      <c r="J18" s="962">
        <v>51.25</v>
      </c>
      <c r="K18" s="962"/>
      <c r="L18" s="604">
        <f>E18*J18</f>
        <v>51.25</v>
      </c>
    </row>
    <row r="19" spans="1:12" ht="13.2">
      <c r="A19" s="603">
        <v>11482</v>
      </c>
      <c r="B19" s="172" t="s">
        <v>394</v>
      </c>
      <c r="C19" s="227" t="s">
        <v>645</v>
      </c>
      <c r="D19" s="170" t="s">
        <v>147</v>
      </c>
      <c r="E19" s="969">
        <v>1.05</v>
      </c>
      <c r="F19" s="969"/>
      <c r="G19" s="969"/>
      <c r="H19" s="969"/>
      <c r="I19" s="969"/>
      <c r="J19" s="962">
        <v>549.15</v>
      </c>
      <c r="K19" s="962"/>
      <c r="L19" s="604">
        <f>E19*J19</f>
        <v>576.60749999999996</v>
      </c>
    </row>
    <row r="20" spans="1:12" ht="13.8" customHeight="1">
      <c r="A20" s="689" t="str">
        <f>REAJUSTE!B8</f>
        <v>02980-E</v>
      </c>
      <c r="B20" s="690" t="str">
        <f>REAJUSTE!A8</f>
        <v>EMOP</v>
      </c>
      <c r="C20" s="691" t="str">
        <f>REAJUSTE!C8</f>
        <v>CIMENTO IMPERMEABILIZANTE CRISTALIZANTE</v>
      </c>
      <c r="D20" s="692" t="str">
        <f>REAJUSTE!D8</f>
        <v>KG</v>
      </c>
      <c r="E20" s="969">
        <f>0.64</f>
        <v>0.64</v>
      </c>
      <c r="F20" s="969"/>
      <c r="G20" s="969"/>
      <c r="H20" s="969"/>
      <c r="I20" s="969"/>
      <c r="J20" s="962">
        <f>REAJUSTE!L8</f>
        <v>22.43</v>
      </c>
      <c r="K20" s="962"/>
      <c r="L20" s="604">
        <f>E20*J20</f>
        <v>14.3552</v>
      </c>
    </row>
    <row r="21" spans="1:12" ht="15" customHeight="1">
      <c r="A21" s="970" t="s">
        <v>107</v>
      </c>
      <c r="B21" s="971"/>
      <c r="C21" s="971"/>
      <c r="D21" s="971"/>
      <c r="E21" s="971"/>
      <c r="F21" s="971"/>
      <c r="G21" s="971"/>
      <c r="H21" s="971"/>
      <c r="I21" s="971"/>
      <c r="J21" s="971"/>
      <c r="K21" s="971"/>
      <c r="L21" s="610">
        <f>SUM(L18:L20)</f>
        <v>642.21269999999993</v>
      </c>
    </row>
    <row r="22" spans="1:12" ht="15" customHeight="1">
      <c r="A22" s="608" t="s">
        <v>9</v>
      </c>
      <c r="B22" s="225" t="s">
        <v>90</v>
      </c>
      <c r="C22" s="226" t="s">
        <v>108</v>
      </c>
      <c r="D22" s="226" t="s">
        <v>28</v>
      </c>
      <c r="E22" s="972" t="s">
        <v>105</v>
      </c>
      <c r="F22" s="973"/>
      <c r="G22" s="973"/>
      <c r="H22" s="973"/>
      <c r="I22" s="974"/>
      <c r="J22" s="972" t="s">
        <v>106</v>
      </c>
      <c r="K22" s="974"/>
      <c r="L22" s="609" t="s">
        <v>37</v>
      </c>
    </row>
    <row r="23" spans="1:12" ht="15" customHeight="1">
      <c r="A23" s="603"/>
      <c r="B23" s="170"/>
      <c r="C23" s="227"/>
      <c r="D23" s="170"/>
      <c r="E23" s="1009"/>
      <c r="F23" s="1010"/>
      <c r="G23" s="1010"/>
      <c r="H23" s="1010"/>
      <c r="I23" s="1011"/>
      <c r="J23" s="1012"/>
      <c r="K23" s="1013"/>
      <c r="L23" s="604"/>
    </row>
    <row r="24" spans="1:12" ht="15" customHeight="1" thickBot="1">
      <c r="A24" s="963" t="s">
        <v>109</v>
      </c>
      <c r="B24" s="964"/>
      <c r="C24" s="965"/>
      <c r="D24" s="965"/>
      <c r="E24" s="965"/>
      <c r="F24" s="965"/>
      <c r="G24" s="965"/>
      <c r="H24" s="965"/>
      <c r="I24" s="965"/>
      <c r="J24" s="965"/>
      <c r="K24" s="965"/>
      <c r="L24" s="600">
        <f>SUM(L23:L23)</f>
        <v>0</v>
      </c>
    </row>
    <row r="25" spans="1:12" ht="15" customHeight="1">
      <c r="A25" s="979" t="s">
        <v>9</v>
      </c>
      <c r="B25" s="981" t="s">
        <v>90</v>
      </c>
      <c r="C25" s="975" t="s">
        <v>110</v>
      </c>
      <c r="D25" s="975" t="s">
        <v>28</v>
      </c>
      <c r="E25" s="171" t="s">
        <v>111</v>
      </c>
      <c r="F25" s="171" t="s">
        <v>111</v>
      </c>
      <c r="G25" s="977" t="s">
        <v>112</v>
      </c>
      <c r="H25" s="988" t="s">
        <v>113</v>
      </c>
      <c r="I25" s="989"/>
      <c r="J25" s="989"/>
      <c r="K25" s="990"/>
      <c r="L25" s="983" t="s">
        <v>37</v>
      </c>
    </row>
    <row r="26" spans="1:12" ht="15" customHeight="1">
      <c r="A26" s="980"/>
      <c r="B26" s="982"/>
      <c r="C26" s="976"/>
      <c r="D26" s="976"/>
      <c r="E26" s="171" t="s">
        <v>114</v>
      </c>
      <c r="F26" s="171" t="s">
        <v>123</v>
      </c>
      <c r="G26" s="978"/>
      <c r="H26" s="985" t="s">
        <v>115</v>
      </c>
      <c r="I26" s="986"/>
      <c r="J26" s="985" t="s">
        <v>106</v>
      </c>
      <c r="K26" s="986"/>
      <c r="L26" s="984"/>
    </row>
    <row r="27" spans="1:12" ht="13.2">
      <c r="A27" s="594"/>
      <c r="B27" s="170"/>
      <c r="C27" s="169"/>
      <c r="D27" s="168"/>
      <c r="E27" s="168"/>
      <c r="F27" s="167"/>
      <c r="G27" s="167"/>
      <c r="H27" s="955"/>
      <c r="I27" s="956"/>
      <c r="J27" s="991"/>
      <c r="K27" s="991"/>
      <c r="L27" s="611">
        <f>G27*J27</f>
        <v>0</v>
      </c>
    </row>
    <row r="28" spans="1:12" ht="15" customHeight="1" thickBot="1">
      <c r="A28" s="963" t="s">
        <v>116</v>
      </c>
      <c r="B28" s="964"/>
      <c r="C28" s="965"/>
      <c r="D28" s="965"/>
      <c r="E28" s="965"/>
      <c r="F28" s="965"/>
      <c r="G28" s="965"/>
      <c r="H28" s="965"/>
      <c r="I28" s="965"/>
      <c r="J28" s="965"/>
      <c r="K28" s="965"/>
      <c r="L28" s="600">
        <f>SUM(L27:L27)</f>
        <v>0</v>
      </c>
    </row>
    <row r="29" spans="1:12" ht="15" customHeight="1" thickBot="1">
      <c r="A29" s="958" t="s">
        <v>117</v>
      </c>
      <c r="B29" s="959"/>
      <c r="C29" s="959"/>
      <c r="D29" s="959"/>
      <c r="E29" s="959"/>
      <c r="F29" s="959"/>
      <c r="G29" s="959"/>
      <c r="H29" s="959"/>
      <c r="I29" s="959"/>
      <c r="J29" s="959"/>
      <c r="K29" s="960"/>
      <c r="L29" s="607">
        <f>TRUNC(L16+L21+L24+L28,2)</f>
        <v>646.91</v>
      </c>
    </row>
    <row r="30" spans="1:12" ht="15" customHeight="1" thickBot="1">
      <c r="A30" s="958" t="s">
        <v>646</v>
      </c>
      <c r="B30" s="959"/>
      <c r="C30" s="959"/>
      <c r="D30" s="959"/>
      <c r="E30" s="959"/>
      <c r="F30" s="959"/>
      <c r="G30" s="959"/>
      <c r="H30" s="959"/>
      <c r="I30" s="959"/>
      <c r="J30" s="959"/>
      <c r="K30" s="960"/>
      <c r="L30" s="685">
        <f>TRUNC(L29*0.2332,2)</f>
        <v>150.85</v>
      </c>
    </row>
    <row r="31" spans="1:12" ht="15" customHeight="1" thickBot="1">
      <c r="A31" s="966" t="s">
        <v>647</v>
      </c>
      <c r="B31" s="967"/>
      <c r="C31" s="967"/>
      <c r="D31" s="967"/>
      <c r="E31" s="967"/>
      <c r="F31" s="967"/>
      <c r="G31" s="967"/>
      <c r="H31" s="967"/>
      <c r="I31" s="967"/>
      <c r="J31" s="967"/>
      <c r="K31" s="968"/>
      <c r="L31" s="612">
        <f>L30+L29</f>
        <v>797.76</v>
      </c>
    </row>
  </sheetData>
  <mergeCells count="57">
    <mergeCell ref="J4:L4"/>
    <mergeCell ref="E5:G5"/>
    <mergeCell ref="E12:I12"/>
    <mergeCell ref="J12:K12"/>
    <mergeCell ref="A13:K13"/>
    <mergeCell ref="A8:K8"/>
    <mergeCell ref="E9:I9"/>
    <mergeCell ref="J9:K9"/>
    <mergeCell ref="E10:I10"/>
    <mergeCell ref="J10:K10"/>
    <mergeCell ref="A1:L1"/>
    <mergeCell ref="A2:B2"/>
    <mergeCell ref="C2:L2"/>
    <mergeCell ref="A3:C3"/>
    <mergeCell ref="D3:I3"/>
    <mergeCell ref="J3:L3"/>
    <mergeCell ref="A4:A5"/>
    <mergeCell ref="B4:B5"/>
    <mergeCell ref="C4:C5"/>
    <mergeCell ref="D4:D5"/>
    <mergeCell ref="E4:I4"/>
    <mergeCell ref="L25:L26"/>
    <mergeCell ref="H26:I26"/>
    <mergeCell ref="J26:K26"/>
    <mergeCell ref="E6:G6"/>
    <mergeCell ref="H25:K25"/>
    <mergeCell ref="E17:I17"/>
    <mergeCell ref="J17:K17"/>
    <mergeCell ref="E18:I18"/>
    <mergeCell ref="J18:K18"/>
    <mergeCell ref="E19:I19"/>
    <mergeCell ref="J19:K19"/>
    <mergeCell ref="A16:K16"/>
    <mergeCell ref="E7:G7"/>
    <mergeCell ref="E23:I23"/>
    <mergeCell ref="J23:K23"/>
    <mergeCell ref="A14:K14"/>
    <mergeCell ref="A31:K31"/>
    <mergeCell ref="J20:K20"/>
    <mergeCell ref="E20:I20"/>
    <mergeCell ref="A21:K21"/>
    <mergeCell ref="E22:I22"/>
    <mergeCell ref="J22:K22"/>
    <mergeCell ref="D25:D26"/>
    <mergeCell ref="G25:G26"/>
    <mergeCell ref="A25:A26"/>
    <mergeCell ref="B25:B26"/>
    <mergeCell ref="C25:C26"/>
    <mergeCell ref="A24:K24"/>
    <mergeCell ref="H27:I27"/>
    <mergeCell ref="J27:K27"/>
    <mergeCell ref="E11:I11"/>
    <mergeCell ref="J11:K11"/>
    <mergeCell ref="A30:K30"/>
    <mergeCell ref="A28:K28"/>
    <mergeCell ref="A29:K29"/>
    <mergeCell ref="A15:K15"/>
  </mergeCells>
  <printOptions horizontalCentered="1"/>
  <pageMargins left="0.25" right="0.25" top="0.75" bottom="0.75" header="0.3" footer="0.3"/>
  <pageSetup paperSize="9" scale="82" fitToWidth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623B-8791-420C-9307-C46F4019ACAA}">
  <sheetPr>
    <tabColor theme="1" tint="0.34998626667073579"/>
    <pageSetUpPr fitToPage="1"/>
  </sheetPr>
  <dimension ref="A1:M37"/>
  <sheetViews>
    <sheetView showGridLines="0" view="pageBreakPreview" topLeftCell="A13" zoomScale="85" zoomScaleNormal="100" zoomScaleSheetLayoutView="85" workbookViewId="0">
      <selection activeCell="L27" sqref="L27"/>
    </sheetView>
  </sheetViews>
  <sheetFormatPr defaultColWidth="10.6640625" defaultRowHeight="15" customHeight="1"/>
  <cols>
    <col min="1" max="1" width="12.6640625" style="164" bestFit="1" customWidth="1"/>
    <col min="2" max="2" width="10.109375" style="164" bestFit="1" customWidth="1"/>
    <col min="3" max="3" width="111.33203125" style="164" bestFit="1" customWidth="1"/>
    <col min="4" max="4" width="9.109375" style="164" customWidth="1"/>
    <col min="5" max="5" width="7.109375" style="164" bestFit="1" customWidth="1"/>
    <col min="6" max="6" width="6.5546875" style="164" customWidth="1"/>
    <col min="7" max="7" width="13.33203125" style="164" bestFit="1" customWidth="1"/>
    <col min="8" max="9" width="8.6640625" style="164" bestFit="1" customWidth="1"/>
    <col min="10" max="10" width="10.88671875" style="164" customWidth="1"/>
    <col min="11" max="11" width="11.5546875" style="164" customWidth="1"/>
    <col min="12" max="12" width="15.6640625" style="164" customWidth="1"/>
    <col min="13" max="16384" width="10.6640625" style="164"/>
  </cols>
  <sheetData>
    <row r="1" spans="1:12" ht="57" customHeight="1" thickBot="1">
      <c r="A1" s="1063" t="s">
        <v>89</v>
      </c>
      <c r="B1" s="1064"/>
      <c r="C1" s="1064"/>
      <c r="D1" s="1064"/>
      <c r="E1" s="1064"/>
      <c r="F1" s="1064"/>
      <c r="G1" s="1064"/>
      <c r="H1" s="1064"/>
      <c r="I1" s="1064"/>
      <c r="J1" s="1064"/>
      <c r="K1" s="1064"/>
      <c r="L1" s="1065"/>
    </row>
    <row r="2" spans="1:12" ht="15" customHeight="1">
      <c r="A2" s="1066" t="s">
        <v>139</v>
      </c>
      <c r="B2" s="1067"/>
      <c r="C2" s="1068" t="s">
        <v>336</v>
      </c>
      <c r="D2" s="1069"/>
      <c r="E2" s="1069"/>
      <c r="F2" s="1069"/>
      <c r="G2" s="1069"/>
      <c r="H2" s="1069"/>
      <c r="I2" s="1069"/>
      <c r="J2" s="1069"/>
      <c r="K2" s="1069"/>
      <c r="L2" s="1070"/>
    </row>
    <row r="3" spans="1:12" ht="13.8" thickBot="1">
      <c r="A3" s="898" t="s">
        <v>659</v>
      </c>
      <c r="B3" s="899"/>
      <c r="C3" s="900"/>
      <c r="D3" s="1071" t="s">
        <v>144</v>
      </c>
      <c r="E3" s="1071"/>
      <c r="F3" s="1071"/>
      <c r="G3" s="1071"/>
      <c r="H3" s="1071"/>
      <c r="I3" s="1071"/>
      <c r="J3" s="1071" t="s">
        <v>142</v>
      </c>
      <c r="K3" s="1071"/>
      <c r="L3" s="1072"/>
    </row>
    <row r="4" spans="1:12" ht="11.4" customHeight="1">
      <c r="A4" s="1036" t="s">
        <v>9</v>
      </c>
      <c r="B4" s="1040" t="s">
        <v>90</v>
      </c>
      <c r="C4" s="1040" t="s">
        <v>38</v>
      </c>
      <c r="D4" s="1040" t="s">
        <v>91</v>
      </c>
      <c r="E4" s="1040" t="s">
        <v>82</v>
      </c>
      <c r="F4" s="1040"/>
      <c r="G4" s="1040"/>
      <c r="H4" s="1040"/>
      <c r="I4" s="1040"/>
      <c r="J4" s="1040" t="s">
        <v>36</v>
      </c>
      <c r="K4" s="1040"/>
      <c r="L4" s="1062"/>
    </row>
    <row r="5" spans="1:12" ht="13.2">
      <c r="A5" s="1037"/>
      <c r="B5" s="1041"/>
      <c r="C5" s="1041"/>
      <c r="D5" s="1041"/>
      <c r="E5" s="1041" t="s">
        <v>92</v>
      </c>
      <c r="F5" s="1041"/>
      <c r="G5" s="1041"/>
      <c r="H5" s="214" t="s">
        <v>93</v>
      </c>
      <c r="I5" s="215" t="s">
        <v>94</v>
      </c>
      <c r="J5" s="214" t="s">
        <v>143</v>
      </c>
      <c r="K5" s="214" t="s">
        <v>95</v>
      </c>
      <c r="L5" s="615" t="s">
        <v>96</v>
      </c>
    </row>
    <row r="6" spans="1:12" ht="13.2">
      <c r="A6" s="1030" t="s">
        <v>97</v>
      </c>
      <c r="B6" s="1031"/>
      <c r="C6" s="1032"/>
      <c r="D6" s="1032"/>
      <c r="E6" s="1032"/>
      <c r="F6" s="1032"/>
      <c r="G6" s="1032"/>
      <c r="H6" s="1032"/>
      <c r="I6" s="1032"/>
      <c r="J6" s="1032"/>
      <c r="K6" s="1032"/>
      <c r="L6" s="616">
        <v>0</v>
      </c>
    </row>
    <row r="7" spans="1:12" ht="26.4">
      <c r="A7" s="613" t="s">
        <v>9</v>
      </c>
      <c r="B7" s="210" t="s">
        <v>90</v>
      </c>
      <c r="C7" s="210" t="s">
        <v>98</v>
      </c>
      <c r="D7" s="210" t="s">
        <v>140</v>
      </c>
      <c r="E7" s="1059" t="s">
        <v>11</v>
      </c>
      <c r="F7" s="1060"/>
      <c r="G7" s="1060"/>
      <c r="H7" s="1060"/>
      <c r="I7" s="1061"/>
      <c r="J7" s="1059" t="s">
        <v>141</v>
      </c>
      <c r="K7" s="1061"/>
      <c r="L7" s="614" t="s">
        <v>99</v>
      </c>
    </row>
    <row r="8" spans="1:12" ht="25.5" customHeight="1">
      <c r="A8" s="617">
        <v>20115</v>
      </c>
      <c r="B8" s="208" t="s">
        <v>394</v>
      </c>
      <c r="C8" s="209" t="s">
        <v>335</v>
      </c>
      <c r="D8" s="208" t="s">
        <v>83</v>
      </c>
      <c r="E8" s="1058">
        <f>15*8</f>
        <v>120</v>
      </c>
      <c r="F8" s="1058"/>
      <c r="G8" s="1058"/>
      <c r="H8" s="1058"/>
      <c r="I8" s="1058"/>
      <c r="J8" s="1028">
        <v>25.5</v>
      </c>
      <c r="K8" s="1028"/>
      <c r="L8" s="618">
        <f>ROUND(J8*E8,2)</f>
        <v>3060</v>
      </c>
    </row>
    <row r="9" spans="1:12" ht="15" customHeight="1">
      <c r="A9" s="617">
        <v>20062</v>
      </c>
      <c r="B9" s="208" t="s">
        <v>394</v>
      </c>
      <c r="C9" s="209" t="s">
        <v>660</v>
      </c>
      <c r="D9" s="208" t="s">
        <v>83</v>
      </c>
      <c r="E9" s="1058">
        <f>5*8</f>
        <v>40</v>
      </c>
      <c r="F9" s="1058"/>
      <c r="G9" s="1058"/>
      <c r="H9" s="1058"/>
      <c r="I9" s="1058"/>
      <c r="J9" s="1028">
        <v>34.93</v>
      </c>
      <c r="K9" s="1028"/>
      <c r="L9" s="618">
        <f>ROUND(J9*E9,2)</f>
        <v>1397.2</v>
      </c>
    </row>
    <row r="10" spans="1:12" ht="15" customHeight="1">
      <c r="A10" s="619">
        <v>20005</v>
      </c>
      <c r="B10" s="208" t="s">
        <v>394</v>
      </c>
      <c r="C10" s="243" t="s">
        <v>365</v>
      </c>
      <c r="D10" s="208" t="s">
        <v>83</v>
      </c>
      <c r="E10" s="1058">
        <f>15*8</f>
        <v>120</v>
      </c>
      <c r="F10" s="1058"/>
      <c r="G10" s="1058"/>
      <c r="H10" s="1058"/>
      <c r="I10" s="1058"/>
      <c r="J10" s="1028">
        <v>30.29</v>
      </c>
      <c r="K10" s="1028"/>
      <c r="L10" s="618">
        <f>ROUND(J10*E10,2)</f>
        <v>3634.8</v>
      </c>
    </row>
    <row r="11" spans="1:12" ht="15" customHeight="1">
      <c r="A11" s="617">
        <v>20002</v>
      </c>
      <c r="B11" s="208" t="s">
        <v>394</v>
      </c>
      <c r="C11" s="209" t="s">
        <v>158</v>
      </c>
      <c r="D11" s="208" t="s">
        <v>83</v>
      </c>
      <c r="E11" s="1058">
        <f>10*8</f>
        <v>80</v>
      </c>
      <c r="F11" s="1058"/>
      <c r="G11" s="1058"/>
      <c r="H11" s="1058"/>
      <c r="I11" s="1058"/>
      <c r="J11" s="1028">
        <v>15.45</v>
      </c>
      <c r="K11" s="1028"/>
      <c r="L11" s="618">
        <f>ROUND(J11*E11,2)</f>
        <v>1236</v>
      </c>
    </row>
    <row r="12" spans="1:12" ht="13.95" customHeight="1" thickBot="1">
      <c r="A12" s="1030"/>
      <c r="B12" s="1031"/>
      <c r="C12" s="1032"/>
      <c r="D12" s="1032"/>
      <c r="E12" s="1032"/>
      <c r="F12" s="1032"/>
      <c r="G12" s="1032"/>
      <c r="H12" s="1032"/>
      <c r="I12" s="1032"/>
      <c r="J12" s="1032"/>
      <c r="K12" s="1032"/>
      <c r="L12" s="616">
        <f>SUM(L8:L11)</f>
        <v>9328</v>
      </c>
    </row>
    <row r="13" spans="1:12" ht="13.5" customHeight="1" thickBot="1">
      <c r="A13" s="1055" t="s">
        <v>101</v>
      </c>
      <c r="B13" s="1056"/>
      <c r="C13" s="1056"/>
      <c r="D13" s="1056"/>
      <c r="E13" s="1056"/>
      <c r="F13" s="1056"/>
      <c r="G13" s="1056"/>
      <c r="H13" s="1056"/>
      <c r="I13" s="1056"/>
      <c r="J13" s="1056"/>
      <c r="K13" s="1057"/>
      <c r="L13" s="620">
        <f>L12*0.05</f>
        <v>466.40000000000003</v>
      </c>
    </row>
    <row r="14" spans="1:12" ht="13.8" thickBot="1">
      <c r="A14" s="1030" t="s">
        <v>102</v>
      </c>
      <c r="B14" s="1031"/>
      <c r="C14" s="1032"/>
      <c r="D14" s="1032"/>
      <c r="E14" s="1032"/>
      <c r="F14" s="1032"/>
      <c r="G14" s="1032"/>
      <c r="H14" s="1032"/>
      <c r="I14" s="1032"/>
      <c r="J14" s="1032"/>
      <c r="K14" s="1032"/>
      <c r="L14" s="616">
        <v>0.3</v>
      </c>
    </row>
    <row r="15" spans="1:12" ht="13.5" customHeight="1" thickBot="1">
      <c r="A15" s="1055" t="s">
        <v>103</v>
      </c>
      <c r="B15" s="1056"/>
      <c r="C15" s="1056"/>
      <c r="D15" s="1056"/>
      <c r="E15" s="1056"/>
      <c r="F15" s="1056"/>
      <c r="G15" s="1056"/>
      <c r="H15" s="1056"/>
      <c r="I15" s="1056"/>
      <c r="J15" s="1056"/>
      <c r="K15" s="1057"/>
      <c r="L15" s="620">
        <f>ROUND((L6+L12+L13)/L14,2)</f>
        <v>32648</v>
      </c>
    </row>
    <row r="16" spans="1:12" ht="12.75" customHeight="1">
      <c r="A16" s="621" t="s">
        <v>9</v>
      </c>
      <c r="B16" s="213" t="s">
        <v>90</v>
      </c>
      <c r="C16" s="212" t="s">
        <v>104</v>
      </c>
      <c r="D16" s="212" t="s">
        <v>28</v>
      </c>
      <c r="E16" s="1050" t="s">
        <v>105</v>
      </c>
      <c r="F16" s="1051"/>
      <c r="G16" s="1051"/>
      <c r="H16" s="1051"/>
      <c r="I16" s="1052"/>
      <c r="J16" s="1050" t="s">
        <v>106</v>
      </c>
      <c r="K16" s="1052"/>
      <c r="L16" s="622" t="s">
        <v>37</v>
      </c>
    </row>
    <row r="17" spans="1:13" ht="13.2">
      <c r="A17" s="623">
        <v>10159</v>
      </c>
      <c r="B17" s="208" t="s">
        <v>394</v>
      </c>
      <c r="C17" s="132" t="s">
        <v>403</v>
      </c>
      <c r="D17" s="219" t="s">
        <v>401</v>
      </c>
      <c r="E17" s="1047">
        <f>464/2</f>
        <v>232</v>
      </c>
      <c r="F17" s="1047"/>
      <c r="G17" s="1047"/>
      <c r="H17" s="1047"/>
      <c r="I17" s="1047"/>
      <c r="J17" s="1049">
        <v>577</v>
      </c>
      <c r="K17" s="1049"/>
      <c r="L17" s="624">
        <f t="shared" ref="L17:L23" si="0">J17*E17</f>
        <v>133864</v>
      </c>
    </row>
    <row r="18" spans="1:13" ht="13.2">
      <c r="A18" s="623">
        <v>10159</v>
      </c>
      <c r="B18" s="208" t="s">
        <v>394</v>
      </c>
      <c r="C18" s="132" t="s">
        <v>403</v>
      </c>
      <c r="D18" s="219" t="s">
        <v>401</v>
      </c>
      <c r="E18" s="1047">
        <f>170/2</f>
        <v>85</v>
      </c>
      <c r="F18" s="1047"/>
      <c r="G18" s="1047"/>
      <c r="H18" s="1047"/>
      <c r="I18" s="1047"/>
      <c r="J18" s="1053">
        <v>1153</v>
      </c>
      <c r="K18" s="1054"/>
      <c r="L18" s="624">
        <f t="shared" si="0"/>
        <v>98005</v>
      </c>
    </row>
    <row r="19" spans="1:13" ht="13.2">
      <c r="A19" s="623">
        <v>10159</v>
      </c>
      <c r="B19" s="208" t="s">
        <v>394</v>
      </c>
      <c r="C19" s="132" t="s">
        <v>403</v>
      </c>
      <c r="D19" s="219" t="s">
        <v>401</v>
      </c>
      <c r="E19" s="1047">
        <f>152/2</f>
        <v>76</v>
      </c>
      <c r="F19" s="1047"/>
      <c r="G19" s="1047"/>
      <c r="H19" s="1047"/>
      <c r="I19" s="1047"/>
      <c r="J19" s="1049">
        <v>1928.5</v>
      </c>
      <c r="K19" s="1049"/>
      <c r="L19" s="624">
        <f>J19*E19</f>
        <v>146566</v>
      </c>
    </row>
    <row r="20" spans="1:13" ht="15" customHeight="1">
      <c r="A20" s="623" t="s">
        <v>334</v>
      </c>
      <c r="B20" s="208" t="s">
        <v>155</v>
      </c>
      <c r="C20" s="216" t="s">
        <v>333</v>
      </c>
      <c r="D20" s="219" t="s">
        <v>28</v>
      </c>
      <c r="E20" s="1047">
        <v>232</v>
      </c>
      <c r="F20" s="1047"/>
      <c r="G20" s="1047"/>
      <c r="H20" s="1047"/>
      <c r="I20" s="1047"/>
      <c r="J20" s="1049">
        <v>2.0512000000000001</v>
      </c>
      <c r="K20" s="1049"/>
      <c r="L20" s="624">
        <f t="shared" si="0"/>
        <v>475.87840000000006</v>
      </c>
    </row>
    <row r="21" spans="1:13" ht="13.2" customHeight="1">
      <c r="A21" s="623" t="s">
        <v>332</v>
      </c>
      <c r="B21" s="208" t="s">
        <v>155</v>
      </c>
      <c r="C21" s="216" t="s">
        <v>331</v>
      </c>
      <c r="D21" s="219" t="s">
        <v>28</v>
      </c>
      <c r="E21" s="1047">
        <v>323</v>
      </c>
      <c r="F21" s="1047"/>
      <c r="G21" s="1047"/>
      <c r="H21" s="1047"/>
      <c r="I21" s="1047"/>
      <c r="J21" s="1049">
        <v>3.7416</v>
      </c>
      <c r="K21" s="1049"/>
      <c r="L21" s="624">
        <f t="shared" si="0"/>
        <v>1208.5368000000001</v>
      </c>
    </row>
    <row r="22" spans="1:13" ht="13.2" customHeight="1">
      <c r="A22" s="623">
        <v>11975</v>
      </c>
      <c r="B22" s="208" t="s">
        <v>222</v>
      </c>
      <c r="C22" s="103" t="s">
        <v>337</v>
      </c>
      <c r="D22" s="219" t="s">
        <v>28</v>
      </c>
      <c r="E22" s="1047">
        <v>232</v>
      </c>
      <c r="F22" s="1047"/>
      <c r="G22" s="1047"/>
      <c r="H22" s="1047"/>
      <c r="I22" s="1047"/>
      <c r="J22" s="1049">
        <v>24.98</v>
      </c>
      <c r="K22" s="1049"/>
      <c r="L22" s="624">
        <f t="shared" si="0"/>
        <v>5795.36</v>
      </c>
    </row>
    <row r="23" spans="1:13" ht="13.2">
      <c r="A23" s="623" t="s">
        <v>330</v>
      </c>
      <c r="B23" s="208" t="s">
        <v>155</v>
      </c>
      <c r="C23" s="216" t="s">
        <v>329</v>
      </c>
      <c r="D23" s="219" t="s">
        <v>33</v>
      </c>
      <c r="E23" s="1047">
        <v>200</v>
      </c>
      <c r="F23" s="1047"/>
      <c r="G23" s="1047"/>
      <c r="H23" s="1047"/>
      <c r="I23" s="1047"/>
      <c r="J23" s="1049">
        <v>12.2791</v>
      </c>
      <c r="K23" s="1049"/>
      <c r="L23" s="624">
        <f t="shared" si="0"/>
        <v>2455.8199999999997</v>
      </c>
    </row>
    <row r="24" spans="1:13" ht="15" customHeight="1">
      <c r="A24" s="1030" t="s">
        <v>107</v>
      </c>
      <c r="B24" s="1031"/>
      <c r="C24" s="1032"/>
      <c r="D24" s="1032"/>
      <c r="E24" s="1032"/>
      <c r="F24" s="1032"/>
      <c r="G24" s="1032"/>
      <c r="H24" s="1032"/>
      <c r="I24" s="1032"/>
      <c r="J24" s="1032"/>
      <c r="K24" s="1032"/>
      <c r="L24" s="616">
        <f>SUM(L17:L23)</f>
        <v>388370.59519999998</v>
      </c>
      <c r="M24" s="259"/>
    </row>
    <row r="25" spans="1:13" ht="26.4">
      <c r="A25" s="621" t="s">
        <v>9</v>
      </c>
      <c r="B25" s="212" t="s">
        <v>90</v>
      </c>
      <c r="C25" s="212" t="s">
        <v>108</v>
      </c>
      <c r="D25" s="212" t="s">
        <v>28</v>
      </c>
      <c r="E25" s="1050" t="s">
        <v>105</v>
      </c>
      <c r="F25" s="1051"/>
      <c r="G25" s="1051"/>
      <c r="H25" s="1051"/>
      <c r="I25" s="1052"/>
      <c r="J25" s="1050" t="s">
        <v>106</v>
      </c>
      <c r="K25" s="1052"/>
      <c r="L25" s="622" t="s">
        <v>37</v>
      </c>
    </row>
    <row r="26" spans="1:13" ht="13.2">
      <c r="A26" s="617">
        <v>2408057</v>
      </c>
      <c r="B26" s="208" t="s">
        <v>155</v>
      </c>
      <c r="C26" s="211" t="s">
        <v>328</v>
      </c>
      <c r="D26" s="208" t="s">
        <v>327</v>
      </c>
      <c r="E26" s="1029">
        <f>((80*4*1.2)+(80*4*2*1.2))/3</f>
        <v>384</v>
      </c>
      <c r="F26" s="1029"/>
      <c r="G26" s="1029"/>
      <c r="H26" s="1029"/>
      <c r="I26" s="1029"/>
      <c r="J26" s="925">
        <v>95.19</v>
      </c>
      <c r="K26" s="925"/>
      <c r="L26" s="618">
        <f>J26*E26</f>
        <v>36552.959999999999</v>
      </c>
    </row>
    <row r="27" spans="1:13" ht="15" customHeight="1">
      <c r="A27" s="617">
        <v>1416141</v>
      </c>
      <c r="B27" s="208" t="s">
        <v>155</v>
      </c>
      <c r="C27" s="211" t="s">
        <v>326</v>
      </c>
      <c r="D27" s="208" t="s">
        <v>6</v>
      </c>
      <c r="E27" s="1029">
        <v>1250</v>
      </c>
      <c r="F27" s="1029"/>
      <c r="G27" s="1029"/>
      <c r="H27" s="1029"/>
      <c r="I27" s="1029"/>
      <c r="J27" s="925">
        <v>2.71</v>
      </c>
      <c r="K27" s="925"/>
      <c r="L27" s="618">
        <f>J27*E27</f>
        <v>3387.5</v>
      </c>
    </row>
    <row r="28" spans="1:13" ht="13.2" customHeight="1">
      <c r="A28" s="625">
        <v>156</v>
      </c>
      <c r="B28" s="120" t="s">
        <v>222</v>
      </c>
      <c r="C28" s="103" t="s">
        <v>223</v>
      </c>
      <c r="D28" s="219" t="s">
        <v>33</v>
      </c>
      <c r="E28" s="1047">
        <v>20</v>
      </c>
      <c r="F28" s="1047"/>
      <c r="G28" s="1047"/>
      <c r="H28" s="1047"/>
      <c r="I28" s="1047"/>
      <c r="J28" s="1048">
        <v>48.54</v>
      </c>
      <c r="K28" s="1048"/>
      <c r="L28" s="624">
        <f>J28*E28</f>
        <v>970.8</v>
      </c>
    </row>
    <row r="29" spans="1:13" ht="13.2">
      <c r="A29" s="623">
        <v>41404</v>
      </c>
      <c r="B29" s="208" t="s">
        <v>394</v>
      </c>
      <c r="C29" s="216" t="s">
        <v>388</v>
      </c>
      <c r="D29" s="219" t="s">
        <v>7</v>
      </c>
      <c r="E29" s="1047">
        <f>0.25*786</f>
        <v>196.5</v>
      </c>
      <c r="F29" s="1047"/>
      <c r="G29" s="1047"/>
      <c r="H29" s="1047"/>
      <c r="I29" s="1047"/>
      <c r="J29" s="1048">
        <v>36.14</v>
      </c>
      <c r="K29" s="1048"/>
      <c r="L29" s="624">
        <f>E29*J29</f>
        <v>7101.51</v>
      </c>
    </row>
    <row r="30" spans="1:13" ht="15" customHeight="1">
      <c r="A30" s="1030" t="s">
        <v>109</v>
      </c>
      <c r="B30" s="1031"/>
      <c r="C30" s="1032"/>
      <c r="D30" s="1032"/>
      <c r="E30" s="1032"/>
      <c r="F30" s="1032"/>
      <c r="G30" s="1032"/>
      <c r="H30" s="1032"/>
      <c r="I30" s="1032"/>
      <c r="J30" s="1032"/>
      <c r="K30" s="1032"/>
      <c r="L30" s="616">
        <f>SUM(L26:L29)</f>
        <v>48012.770000000004</v>
      </c>
    </row>
    <row r="31" spans="1:13" ht="15" customHeight="1">
      <c r="A31" s="1036" t="s">
        <v>9</v>
      </c>
      <c r="B31" s="1038" t="s">
        <v>90</v>
      </c>
      <c r="C31" s="1040" t="s">
        <v>110</v>
      </c>
      <c r="D31" s="1040" t="s">
        <v>28</v>
      </c>
      <c r="E31" s="210" t="s">
        <v>111</v>
      </c>
      <c r="F31" s="210" t="s">
        <v>111</v>
      </c>
      <c r="G31" s="1042" t="s">
        <v>112</v>
      </c>
      <c r="H31" s="1044" t="s">
        <v>113</v>
      </c>
      <c r="I31" s="1045"/>
      <c r="J31" s="1045"/>
      <c r="K31" s="1046"/>
      <c r="L31" s="1023" t="s">
        <v>37</v>
      </c>
    </row>
    <row r="32" spans="1:13" ht="13.2">
      <c r="A32" s="1037"/>
      <c r="B32" s="1039"/>
      <c r="C32" s="1041"/>
      <c r="D32" s="1041"/>
      <c r="E32" s="210" t="s">
        <v>114</v>
      </c>
      <c r="F32" s="210" t="s">
        <v>123</v>
      </c>
      <c r="G32" s="1043"/>
      <c r="H32" s="1025" t="s">
        <v>115</v>
      </c>
      <c r="I32" s="1026"/>
      <c r="J32" s="1025" t="s">
        <v>106</v>
      </c>
      <c r="K32" s="1026"/>
      <c r="L32" s="1024"/>
    </row>
    <row r="33" spans="1:12" ht="15" customHeight="1">
      <c r="A33" s="626"/>
      <c r="B33" s="208" t="s">
        <v>394</v>
      </c>
      <c r="C33" s="211" t="s">
        <v>661</v>
      </c>
      <c r="D33" s="217" t="s">
        <v>325</v>
      </c>
      <c r="E33" s="217">
        <f>DMT!D18</f>
        <v>120</v>
      </c>
      <c r="F33" s="217">
        <f>DMT!E18</f>
        <v>0</v>
      </c>
      <c r="G33" s="217">
        <f>0.2+0.02+5.5+0.5</f>
        <v>6.22</v>
      </c>
      <c r="H33" s="1027" t="s">
        <v>662</v>
      </c>
      <c r="I33" s="1027"/>
      <c r="J33" s="1028">
        <f>1.166*E33+1.212*F33</f>
        <v>139.91999999999999</v>
      </c>
      <c r="K33" s="1028"/>
      <c r="L33" s="627">
        <f>TRUNC(J33*G33,2)</f>
        <v>870.3</v>
      </c>
    </row>
    <row r="34" spans="1:12" ht="15" customHeight="1" thickBot="1">
      <c r="A34" s="1030" t="s">
        <v>116</v>
      </c>
      <c r="B34" s="1031"/>
      <c r="C34" s="1032"/>
      <c r="D34" s="1032"/>
      <c r="E34" s="1032"/>
      <c r="F34" s="1032"/>
      <c r="G34" s="1032"/>
      <c r="H34" s="1032"/>
      <c r="I34" s="1032"/>
      <c r="J34" s="1032"/>
      <c r="K34" s="1032"/>
      <c r="L34" s="616">
        <f>SUM(L33:L33)</f>
        <v>870.3</v>
      </c>
    </row>
    <row r="35" spans="1:12" ht="15" customHeight="1" thickBot="1">
      <c r="A35" s="1033" t="s">
        <v>117</v>
      </c>
      <c r="B35" s="1034"/>
      <c r="C35" s="1034"/>
      <c r="D35" s="1034"/>
      <c r="E35" s="1034"/>
      <c r="F35" s="1034"/>
      <c r="G35" s="1034"/>
      <c r="H35" s="1034"/>
      <c r="I35" s="1034"/>
      <c r="J35" s="1034"/>
      <c r="K35" s="1035"/>
      <c r="L35" s="620">
        <f>L15+L24+L30+L34</f>
        <v>469901.66519999999</v>
      </c>
    </row>
    <row r="36" spans="1:12" s="4" customFormat="1" ht="14.4" customHeight="1" thickBot="1">
      <c r="A36" s="958" t="s">
        <v>646</v>
      </c>
      <c r="B36" s="959"/>
      <c r="C36" s="959"/>
      <c r="D36" s="959"/>
      <c r="E36" s="959"/>
      <c r="F36" s="959"/>
      <c r="G36" s="959"/>
      <c r="H36" s="959"/>
      <c r="I36" s="959"/>
      <c r="J36" s="959"/>
      <c r="K36" s="960"/>
      <c r="L36" s="685">
        <f>TRUNC(L35*0.2332,2)</f>
        <v>109581.06</v>
      </c>
    </row>
    <row r="37" spans="1:12" ht="15" customHeight="1" thickBot="1">
      <c r="A37" s="966" t="s">
        <v>647</v>
      </c>
      <c r="B37" s="967"/>
      <c r="C37" s="967"/>
      <c r="D37" s="967"/>
      <c r="E37" s="967"/>
      <c r="F37" s="967"/>
      <c r="G37" s="967"/>
      <c r="H37" s="967"/>
      <c r="I37" s="967"/>
      <c r="J37" s="967"/>
      <c r="K37" s="968"/>
      <c r="L37" s="612">
        <f>L36+L35</f>
        <v>579482.72519999999</v>
      </c>
    </row>
  </sheetData>
  <mergeCells count="71">
    <mergeCell ref="A1:L1"/>
    <mergeCell ref="A2:B2"/>
    <mergeCell ref="C2:L2"/>
    <mergeCell ref="A3:C3"/>
    <mergeCell ref="D3:I3"/>
    <mergeCell ref="J3:L3"/>
    <mergeCell ref="A6:K6"/>
    <mergeCell ref="E7:I7"/>
    <mergeCell ref="J7:K7"/>
    <mergeCell ref="A4:A5"/>
    <mergeCell ref="B4:B5"/>
    <mergeCell ref="C4:C5"/>
    <mergeCell ref="D4:D5"/>
    <mergeCell ref="E4:I4"/>
    <mergeCell ref="J4:L4"/>
    <mergeCell ref="E5:G5"/>
    <mergeCell ref="A15:K15"/>
    <mergeCell ref="E8:I8"/>
    <mergeCell ref="J8:K8"/>
    <mergeCell ref="E9:I9"/>
    <mergeCell ref="J9:K9"/>
    <mergeCell ref="E11:I11"/>
    <mergeCell ref="J11:K11"/>
    <mergeCell ref="A12:K12"/>
    <mergeCell ref="A13:K13"/>
    <mergeCell ref="A14:K14"/>
    <mergeCell ref="E10:I10"/>
    <mergeCell ref="J10:K10"/>
    <mergeCell ref="E17:I17"/>
    <mergeCell ref="J17:K17"/>
    <mergeCell ref="E20:I20"/>
    <mergeCell ref="J20:K20"/>
    <mergeCell ref="E16:I16"/>
    <mergeCell ref="J16:K16"/>
    <mergeCell ref="E19:I19"/>
    <mergeCell ref="J19:K19"/>
    <mergeCell ref="E18:I18"/>
    <mergeCell ref="J18:K18"/>
    <mergeCell ref="E21:I21"/>
    <mergeCell ref="J21:K21"/>
    <mergeCell ref="A24:K24"/>
    <mergeCell ref="E25:I25"/>
    <mergeCell ref="E26:I26"/>
    <mergeCell ref="J25:K25"/>
    <mergeCell ref="J26:K26"/>
    <mergeCell ref="E23:I23"/>
    <mergeCell ref="J23:K23"/>
    <mergeCell ref="E22:I22"/>
    <mergeCell ref="J22:K22"/>
    <mergeCell ref="E27:I27"/>
    <mergeCell ref="J27:K27"/>
    <mergeCell ref="A30:K30"/>
    <mergeCell ref="A35:K35"/>
    <mergeCell ref="A37:K37"/>
    <mergeCell ref="A31:A32"/>
    <mergeCell ref="B31:B32"/>
    <mergeCell ref="A34:K34"/>
    <mergeCell ref="C31:C32"/>
    <mergeCell ref="D31:D32"/>
    <mergeCell ref="G31:G32"/>
    <mergeCell ref="H31:K31"/>
    <mergeCell ref="E29:I29"/>
    <mergeCell ref="J29:K29"/>
    <mergeCell ref="E28:I28"/>
    <mergeCell ref="J28:K28"/>
    <mergeCell ref="A36:K36"/>
    <mergeCell ref="L31:L32"/>
    <mergeCell ref="H32:I32"/>
    <mergeCell ref="J32:K32"/>
    <mergeCell ref="H33:I33"/>
    <mergeCell ref="J33:K33"/>
  </mergeCells>
  <printOptions horizontalCentered="1"/>
  <pageMargins left="0.25" right="0.25" top="0.75" bottom="0.75" header="0.3" footer="0.3"/>
  <pageSetup paperSize="9" scale="3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01832-767F-4CEA-83AF-2F8881B9F95A}">
  <sheetPr>
    <tabColor theme="3" tint="0.39997558519241921"/>
    <pageSetUpPr fitToPage="1"/>
  </sheetPr>
  <dimension ref="A1:L35"/>
  <sheetViews>
    <sheetView showGridLines="0" view="pageBreakPreview" topLeftCell="A22" zoomScale="85" zoomScaleNormal="100" zoomScaleSheetLayoutView="85" workbookViewId="0">
      <selection activeCell="A34" sqref="A34:L35"/>
    </sheetView>
  </sheetViews>
  <sheetFormatPr defaultColWidth="10.6640625" defaultRowHeight="15" customHeight="1"/>
  <cols>
    <col min="1" max="1" width="13.77734375" style="4" bestFit="1" customWidth="1"/>
    <col min="2" max="2" width="10.109375" style="4" bestFit="1" customWidth="1"/>
    <col min="3" max="3" width="43.88671875" style="4" customWidth="1"/>
    <col min="4" max="4" width="9.109375" style="4" customWidth="1"/>
    <col min="5" max="5" width="6.6640625" style="4" customWidth="1"/>
    <col min="6" max="6" width="6.5546875" style="4" customWidth="1"/>
    <col min="7" max="7" width="8.6640625" style="4" customWidth="1"/>
    <col min="8" max="9" width="8.6640625" style="4" bestFit="1" customWidth="1"/>
    <col min="10" max="10" width="10.88671875" style="4" customWidth="1"/>
    <col min="11" max="11" width="11.5546875" style="4" customWidth="1"/>
    <col min="12" max="12" width="17.6640625" style="4" bestFit="1" customWidth="1"/>
    <col min="13" max="16384" width="10.6640625" style="4"/>
  </cols>
  <sheetData>
    <row r="1" spans="1:12" ht="57" customHeight="1" thickBot="1">
      <c r="A1" s="1074" t="s">
        <v>89</v>
      </c>
      <c r="B1" s="1075"/>
      <c r="C1" s="1075"/>
      <c r="D1" s="1075"/>
      <c r="E1" s="1075"/>
      <c r="F1" s="1075"/>
      <c r="G1" s="1075"/>
      <c r="H1" s="1075"/>
      <c r="I1" s="1075"/>
      <c r="J1" s="1075"/>
      <c r="K1" s="1075"/>
      <c r="L1" s="1076"/>
    </row>
    <row r="2" spans="1:12" ht="15" customHeight="1">
      <c r="A2" s="893" t="s">
        <v>139</v>
      </c>
      <c r="B2" s="894"/>
      <c r="C2" s="1004" t="s">
        <v>381</v>
      </c>
      <c r="D2" s="1005"/>
      <c r="E2" s="1005"/>
      <c r="F2" s="1005"/>
      <c r="G2" s="1005"/>
      <c r="H2" s="1005"/>
      <c r="I2" s="1005"/>
      <c r="J2" s="1005"/>
      <c r="K2" s="1005"/>
      <c r="L2" s="1006"/>
    </row>
    <row r="3" spans="1:12" ht="15" customHeight="1" thickBot="1">
      <c r="A3" s="898" t="s">
        <v>659</v>
      </c>
      <c r="B3" s="899"/>
      <c r="C3" s="900"/>
      <c r="D3" s="1077" t="s">
        <v>144</v>
      </c>
      <c r="E3" s="1077"/>
      <c r="F3" s="1077"/>
      <c r="G3" s="1077"/>
      <c r="H3" s="1077"/>
      <c r="I3" s="1077"/>
      <c r="J3" s="1077" t="s">
        <v>369</v>
      </c>
      <c r="K3" s="1077"/>
      <c r="L3" s="1078"/>
    </row>
    <row r="4" spans="1:12" ht="11.4" customHeight="1">
      <c r="A4" s="726" t="s">
        <v>9</v>
      </c>
      <c r="B4" s="942" t="s">
        <v>90</v>
      </c>
      <c r="C4" s="940" t="s">
        <v>38</v>
      </c>
      <c r="D4" s="940" t="s">
        <v>91</v>
      </c>
      <c r="E4" s="940" t="s">
        <v>82</v>
      </c>
      <c r="F4" s="940"/>
      <c r="G4" s="940"/>
      <c r="H4" s="940"/>
      <c r="I4" s="940"/>
      <c r="J4" s="940" t="s">
        <v>36</v>
      </c>
      <c r="K4" s="940"/>
      <c r="L4" s="1073"/>
    </row>
    <row r="5" spans="1:12" ht="13.2">
      <c r="A5" s="939"/>
      <c r="B5" s="943"/>
      <c r="C5" s="941"/>
      <c r="D5" s="941"/>
      <c r="E5" s="941" t="s">
        <v>92</v>
      </c>
      <c r="F5" s="941"/>
      <c r="G5" s="941"/>
      <c r="H5" s="53" t="s">
        <v>93</v>
      </c>
      <c r="I5" s="92" t="s">
        <v>94</v>
      </c>
      <c r="J5" s="53" t="s">
        <v>143</v>
      </c>
      <c r="K5" s="53" t="s">
        <v>95</v>
      </c>
      <c r="L5" s="580" t="s">
        <v>96</v>
      </c>
    </row>
    <row r="6" spans="1:12" ht="13.2">
      <c r="A6" s="619">
        <v>30082</v>
      </c>
      <c r="B6" s="208" t="s">
        <v>394</v>
      </c>
      <c r="C6" s="243" t="s">
        <v>368</v>
      </c>
      <c r="D6" s="242"/>
      <c r="E6" s="1093">
        <v>2</v>
      </c>
      <c r="F6" s="1094"/>
      <c r="G6" s="1095"/>
      <c r="H6" s="241">
        <v>1</v>
      </c>
      <c r="I6" s="241">
        <v>0</v>
      </c>
      <c r="J6" s="241">
        <v>52.87</v>
      </c>
      <c r="K6" s="241">
        <v>30.98</v>
      </c>
      <c r="L6" s="628">
        <f>E6*J6</f>
        <v>105.74</v>
      </c>
    </row>
    <row r="7" spans="1:12" ht="13.2">
      <c r="A7" s="619">
        <v>30095</v>
      </c>
      <c r="B7" s="208" t="s">
        <v>394</v>
      </c>
      <c r="C7" s="243" t="s">
        <v>367</v>
      </c>
      <c r="D7" s="242"/>
      <c r="E7" s="1093">
        <v>2</v>
      </c>
      <c r="F7" s="1094"/>
      <c r="G7" s="1095"/>
      <c r="H7" s="241">
        <v>1</v>
      </c>
      <c r="I7" s="241">
        <v>0</v>
      </c>
      <c r="J7" s="241">
        <v>2.78</v>
      </c>
      <c r="K7" s="241">
        <v>0.13</v>
      </c>
      <c r="L7" s="628">
        <f>E7*J7</f>
        <v>5.56</v>
      </c>
    </row>
    <row r="8" spans="1:12" ht="26.4">
      <c r="A8" s="619">
        <v>30094</v>
      </c>
      <c r="B8" s="208" t="s">
        <v>394</v>
      </c>
      <c r="C8" s="248" t="s">
        <v>366</v>
      </c>
      <c r="D8" s="242"/>
      <c r="E8" s="1093">
        <v>2</v>
      </c>
      <c r="F8" s="1094"/>
      <c r="G8" s="1095"/>
      <c r="H8" s="241">
        <v>1</v>
      </c>
      <c r="I8" s="241">
        <v>0</v>
      </c>
      <c r="J8" s="241">
        <v>24.85</v>
      </c>
      <c r="K8" s="241">
        <v>24.14</v>
      </c>
      <c r="L8" s="628">
        <f>E8*J8</f>
        <v>49.7</v>
      </c>
    </row>
    <row r="9" spans="1:12" ht="13.2">
      <c r="A9" s="581"/>
      <c r="B9" s="240"/>
      <c r="C9" s="239"/>
      <c r="D9" s="56"/>
      <c r="E9" s="995"/>
      <c r="F9" s="995"/>
      <c r="G9" s="995"/>
      <c r="H9" s="176"/>
      <c r="I9" s="176"/>
      <c r="J9" s="176"/>
      <c r="K9" s="176"/>
      <c r="L9" s="599"/>
    </row>
    <row r="10" spans="1:12" ht="15" customHeight="1">
      <c r="A10" s="1079" t="s">
        <v>97</v>
      </c>
      <c r="B10" s="1080"/>
      <c r="C10" s="1081"/>
      <c r="D10" s="1081"/>
      <c r="E10" s="1081"/>
      <c r="F10" s="1081"/>
      <c r="G10" s="1081"/>
      <c r="H10" s="1081"/>
      <c r="I10" s="1081"/>
      <c r="J10" s="1081"/>
      <c r="K10" s="1081"/>
      <c r="L10" s="600">
        <f>SUM(L6:L9)</f>
        <v>161</v>
      </c>
    </row>
    <row r="11" spans="1:12" ht="13.2">
      <c r="A11" s="629" t="s">
        <v>9</v>
      </c>
      <c r="B11" s="237" t="s">
        <v>90</v>
      </c>
      <c r="C11" s="236" t="s">
        <v>98</v>
      </c>
      <c r="D11" s="236" t="s">
        <v>140</v>
      </c>
      <c r="E11" s="1082" t="s">
        <v>11</v>
      </c>
      <c r="F11" s="1083"/>
      <c r="G11" s="1083"/>
      <c r="H11" s="1083"/>
      <c r="I11" s="1084"/>
      <c r="J11" s="1082" t="s">
        <v>141</v>
      </c>
      <c r="K11" s="1084"/>
      <c r="L11" s="593" t="s">
        <v>99</v>
      </c>
    </row>
    <row r="12" spans="1:12" ht="15" customHeight="1">
      <c r="A12" s="619">
        <v>20062</v>
      </c>
      <c r="B12" s="208" t="s">
        <v>394</v>
      </c>
      <c r="C12" s="243" t="str">
        <f>VLOOKUP(A12,'[2]Page 1'!$A$3:$D$111,2,)</f>
        <v>Encarregado O.A.E.</v>
      </c>
      <c r="D12" s="241" t="str">
        <f>VLOOKUP(A12,'[2]Page 1'!$A$3:$D$111,3,)</f>
        <v>h</v>
      </c>
      <c r="E12" s="1085">
        <v>2</v>
      </c>
      <c r="F12" s="1085"/>
      <c r="G12" s="1085"/>
      <c r="H12" s="1085"/>
      <c r="I12" s="1085"/>
      <c r="J12" s="1086">
        <v>34.93</v>
      </c>
      <c r="K12" s="1086"/>
      <c r="L12" s="630">
        <f>ROUND(J12*E12,2)</f>
        <v>69.86</v>
      </c>
    </row>
    <row r="13" spans="1:12" ht="15" customHeight="1">
      <c r="A13" s="619">
        <v>20115</v>
      </c>
      <c r="B13" s="208" t="s">
        <v>394</v>
      </c>
      <c r="C13" s="243" t="s">
        <v>335</v>
      </c>
      <c r="D13" s="241" t="str">
        <f>VLOOKUP(A13,'[2]Page 1'!$A$3:$D$111,3,)</f>
        <v>h</v>
      </c>
      <c r="E13" s="1085">
        <v>2</v>
      </c>
      <c r="F13" s="1085"/>
      <c r="G13" s="1085"/>
      <c r="H13" s="1085"/>
      <c r="I13" s="1085"/>
      <c r="J13" s="1086">
        <v>25.5</v>
      </c>
      <c r="K13" s="1086"/>
      <c r="L13" s="630">
        <f>ROUND(J13*E13,2)</f>
        <v>51</v>
      </c>
    </row>
    <row r="14" spans="1:12" ht="15" customHeight="1">
      <c r="A14" s="619">
        <v>20005</v>
      </c>
      <c r="B14" s="208" t="s">
        <v>394</v>
      </c>
      <c r="C14" s="243" t="s">
        <v>365</v>
      </c>
      <c r="D14" s="241" t="s">
        <v>168</v>
      </c>
      <c r="E14" s="1085">
        <v>2</v>
      </c>
      <c r="F14" s="1085"/>
      <c r="G14" s="1085"/>
      <c r="H14" s="1085"/>
      <c r="I14" s="1085"/>
      <c r="J14" s="1086">
        <v>30.29</v>
      </c>
      <c r="K14" s="1086"/>
      <c r="L14" s="630">
        <f>ROUND(J14*E14,2)</f>
        <v>60.58</v>
      </c>
    </row>
    <row r="15" spans="1:12" ht="13.2">
      <c r="A15" s="631"/>
      <c r="B15" s="240"/>
      <c r="C15" s="254"/>
      <c r="D15" s="240"/>
      <c r="E15" s="1090"/>
      <c r="F15" s="1090"/>
      <c r="G15" s="1090"/>
      <c r="H15" s="1090"/>
      <c r="I15" s="1090"/>
      <c r="J15" s="1091"/>
      <c r="K15" s="1091"/>
      <c r="L15" s="606"/>
    </row>
    <row r="16" spans="1:12" ht="13.95" customHeight="1" thickBot="1">
      <c r="A16" s="1079" t="s">
        <v>100</v>
      </c>
      <c r="B16" s="1080"/>
      <c r="C16" s="1081"/>
      <c r="D16" s="1081"/>
      <c r="E16" s="1081"/>
      <c r="F16" s="1081"/>
      <c r="G16" s="1081"/>
      <c r="H16" s="1081"/>
      <c r="I16" s="1081"/>
      <c r="J16" s="1081"/>
      <c r="K16" s="1081"/>
      <c r="L16" s="600">
        <f>SUM(L12:L15)</f>
        <v>181.44</v>
      </c>
    </row>
    <row r="17" spans="1:12" ht="13.8" thickBot="1">
      <c r="A17" s="931" t="s">
        <v>101</v>
      </c>
      <c r="B17" s="932"/>
      <c r="C17" s="932"/>
      <c r="D17" s="932"/>
      <c r="E17" s="932"/>
      <c r="F17" s="932"/>
      <c r="G17" s="932"/>
      <c r="H17" s="932"/>
      <c r="I17" s="932"/>
      <c r="J17" s="932"/>
      <c r="K17" s="933"/>
      <c r="L17" s="607">
        <f>L16*0.05</f>
        <v>9.072000000000001</v>
      </c>
    </row>
    <row r="18" spans="1:12" ht="13.8" thickBot="1">
      <c r="A18" s="1079" t="s">
        <v>102</v>
      </c>
      <c r="B18" s="1080"/>
      <c r="C18" s="1081"/>
      <c r="D18" s="1081"/>
      <c r="E18" s="1081"/>
      <c r="F18" s="1081"/>
      <c r="G18" s="1081"/>
      <c r="H18" s="1081"/>
      <c r="I18" s="1081"/>
      <c r="J18" s="1081"/>
      <c r="K18" s="1081"/>
      <c r="L18" s="583">
        <v>0.5</v>
      </c>
    </row>
    <row r="19" spans="1:12" ht="13.8" thickBot="1">
      <c r="A19" s="931" t="s">
        <v>103</v>
      </c>
      <c r="B19" s="932"/>
      <c r="C19" s="932"/>
      <c r="D19" s="932"/>
      <c r="E19" s="932"/>
      <c r="F19" s="932"/>
      <c r="G19" s="932"/>
      <c r="H19" s="932"/>
      <c r="I19" s="932"/>
      <c r="J19" s="932"/>
      <c r="K19" s="933"/>
      <c r="L19" s="607">
        <f>ROUND((L10+L16+L17)/L18,2)</f>
        <v>703.02</v>
      </c>
    </row>
    <row r="20" spans="1:12" ht="26.4">
      <c r="A20" s="629" t="s">
        <v>9</v>
      </c>
      <c r="B20" s="237" t="s">
        <v>90</v>
      </c>
      <c r="C20" s="236" t="s">
        <v>104</v>
      </c>
      <c r="D20" s="236" t="s">
        <v>28</v>
      </c>
      <c r="E20" s="1082" t="s">
        <v>105</v>
      </c>
      <c r="F20" s="1083"/>
      <c r="G20" s="1083"/>
      <c r="H20" s="1083"/>
      <c r="I20" s="1084"/>
      <c r="J20" s="1082" t="s">
        <v>106</v>
      </c>
      <c r="K20" s="1084"/>
      <c r="L20" s="593" t="s">
        <v>37</v>
      </c>
    </row>
    <row r="21" spans="1:12" ht="39.6">
      <c r="A21" s="632">
        <v>10497</v>
      </c>
      <c r="B21" s="241" t="s">
        <v>222</v>
      </c>
      <c r="C21" s="247" t="s">
        <v>386</v>
      </c>
      <c r="D21" s="136" t="s">
        <v>364</v>
      </c>
      <c r="E21" s="1087">
        <f>1.2*1</f>
        <v>1.2</v>
      </c>
      <c r="F21" s="1087"/>
      <c r="G21" s="1087"/>
      <c r="H21" s="1087"/>
      <c r="I21" s="1087"/>
      <c r="J21" s="1088">
        <v>1637.24</v>
      </c>
      <c r="K21" s="1087"/>
      <c r="L21" s="633">
        <f>E21*J21</f>
        <v>1964.6879999999999</v>
      </c>
    </row>
    <row r="22" spans="1:12" ht="13.2">
      <c r="A22" s="634">
        <v>10150</v>
      </c>
      <c r="B22" s="208" t="s">
        <v>394</v>
      </c>
      <c r="C22" s="248" t="s">
        <v>363</v>
      </c>
      <c r="D22" s="241" t="s">
        <v>33</v>
      </c>
      <c r="E22" s="1085">
        <f>(0.1*0.1*0.08*7800)</f>
        <v>6.2400000000000011</v>
      </c>
      <c r="F22" s="1085"/>
      <c r="G22" s="1085"/>
      <c r="H22" s="1085"/>
      <c r="I22" s="1085"/>
      <c r="J22" s="1089">
        <v>14.37</v>
      </c>
      <c r="K22" s="1089"/>
      <c r="L22" s="604">
        <f>E22*J22</f>
        <v>89.668800000000005</v>
      </c>
    </row>
    <row r="23" spans="1:12" ht="15" customHeight="1">
      <c r="A23" s="1079" t="s">
        <v>107</v>
      </c>
      <c r="B23" s="1080"/>
      <c r="C23" s="1081"/>
      <c r="D23" s="1081"/>
      <c r="E23" s="1081"/>
      <c r="F23" s="1081"/>
      <c r="G23" s="1081"/>
      <c r="H23" s="1081"/>
      <c r="I23" s="1081"/>
      <c r="J23" s="1081"/>
      <c r="K23" s="1081"/>
      <c r="L23" s="600">
        <f>SUM(L21:L22)</f>
        <v>2054.3568</v>
      </c>
    </row>
    <row r="24" spans="1:12" ht="15" customHeight="1">
      <c r="A24" s="629" t="s">
        <v>9</v>
      </c>
      <c r="B24" s="237" t="s">
        <v>90</v>
      </c>
      <c r="C24" s="236" t="s">
        <v>108</v>
      </c>
      <c r="D24" s="236" t="s">
        <v>28</v>
      </c>
      <c r="E24" s="1082" t="s">
        <v>105</v>
      </c>
      <c r="F24" s="1083"/>
      <c r="G24" s="1083"/>
      <c r="H24" s="1083"/>
      <c r="I24" s="1084"/>
      <c r="J24" s="1082" t="s">
        <v>106</v>
      </c>
      <c r="K24" s="1084"/>
      <c r="L24" s="593" t="s">
        <v>37</v>
      </c>
    </row>
    <row r="25" spans="1:12" ht="26.4">
      <c r="A25" s="619">
        <v>2408058</v>
      </c>
      <c r="B25" s="241" t="s">
        <v>155</v>
      </c>
      <c r="C25" s="248" t="s">
        <v>362</v>
      </c>
      <c r="D25" s="241" t="s">
        <v>33</v>
      </c>
      <c r="E25" s="1085">
        <f>(((0.3+0.3+0.2))/8)</f>
        <v>0.1</v>
      </c>
      <c r="F25" s="1085"/>
      <c r="G25" s="1085"/>
      <c r="H25" s="1085"/>
      <c r="I25" s="1085"/>
      <c r="J25" s="1085">
        <v>61.2</v>
      </c>
      <c r="K25" s="1085"/>
      <c r="L25" s="604">
        <f>J25*E25</f>
        <v>6.120000000000001</v>
      </c>
    </row>
    <row r="26" spans="1:12" ht="118.8">
      <c r="A26" s="693" t="str">
        <f>REAJUSTE!B9</f>
        <v xml:space="preserve"> 18.016.0225-0</v>
      </c>
      <c r="B26" s="694" t="str">
        <f>REAJUSTE!A9</f>
        <v>EMOP</v>
      </c>
      <c r="C26" s="695" t="str">
        <f>REAJUSTE!C9</f>
        <v>CORRIMAO SIMPLES EM TUBO DE ACO INOX COM DIAMETRO DE 1.1/2",COM GUARDA-CORPO EM VIDRO,EXCLUSIVE ESTE,FIXADO EM MONTANTES DE TUBO DE ACO INOX COM DIAMETRO DE 1.1/2" COM ACABAMENTO SUPERIOR EM TUBO DE ACO INOX COM DIAMETRO DE 2.1/2".FORNECIMENTO E COLOCACAOObservacao: 3%-DESGASTE DE FERRAMENTAS E EPI</v>
      </c>
      <c r="D26" s="696" t="str">
        <f>REAJUSTE!D9</f>
        <v>m</v>
      </c>
      <c r="E26" s="1085">
        <f>2.5</f>
        <v>2.5</v>
      </c>
      <c r="F26" s="1085"/>
      <c r="G26" s="1085"/>
      <c r="H26" s="1085"/>
      <c r="I26" s="1085"/>
      <c r="J26" s="1089">
        <f>REAJUSTE!L9</f>
        <v>526.69000000000005</v>
      </c>
      <c r="K26" s="1089"/>
      <c r="L26" s="604">
        <f>E26*J26</f>
        <v>1316.7250000000001</v>
      </c>
    </row>
    <row r="27" spans="1:12" ht="66">
      <c r="A27" s="693" t="str">
        <f>REAJUSTE!B10</f>
        <v>21.050.0045-0</v>
      </c>
      <c r="B27" s="694" t="str">
        <f>REAJUSTE!A10</f>
        <v>EMOP</v>
      </c>
      <c r="C27" s="695" t="str">
        <f>REAJUSTE!C10</f>
        <v>CHUMBADOR DE ACO INOXIDAVEL 304,TEC BOLT,TBM 12.100,COMPRIMENTO DE 96MM E DIAMETRO DE 1/2",COM ARRUELA LISA E DE PRESSAO E PORCA,TECNART OU SIMILAR.FORNECIMENTO</v>
      </c>
      <c r="D27" s="696" t="str">
        <f>REAJUSTE!D10</f>
        <v>Un</v>
      </c>
      <c r="E27" s="1085">
        <v>3</v>
      </c>
      <c r="F27" s="1085"/>
      <c r="G27" s="1085"/>
      <c r="H27" s="1085"/>
      <c r="I27" s="1085"/>
      <c r="J27" s="1089">
        <f>REAJUSTE!L10</f>
        <v>8.6</v>
      </c>
      <c r="K27" s="1089"/>
      <c r="L27" s="604">
        <f>E27*J27</f>
        <v>25.799999999999997</v>
      </c>
    </row>
    <row r="28" spans="1:12" ht="15" customHeight="1" thickBot="1">
      <c r="A28" s="1079" t="s">
        <v>109</v>
      </c>
      <c r="B28" s="1080"/>
      <c r="C28" s="1081"/>
      <c r="D28" s="1081"/>
      <c r="E28" s="1081"/>
      <c r="F28" s="1081"/>
      <c r="G28" s="1081"/>
      <c r="H28" s="1081"/>
      <c r="I28" s="1081"/>
      <c r="J28" s="1081"/>
      <c r="K28" s="1081"/>
      <c r="L28" s="600">
        <f>SUM(L25:L27)</f>
        <v>1348.645</v>
      </c>
    </row>
    <row r="29" spans="1:12" ht="15" customHeight="1">
      <c r="A29" s="726" t="s">
        <v>9</v>
      </c>
      <c r="B29" s="1096" t="s">
        <v>90</v>
      </c>
      <c r="C29" s="940" t="s">
        <v>110</v>
      </c>
      <c r="D29" s="940" t="s">
        <v>28</v>
      </c>
      <c r="E29" s="91" t="s">
        <v>111</v>
      </c>
      <c r="F29" s="91" t="s">
        <v>111</v>
      </c>
      <c r="G29" s="942" t="s">
        <v>112</v>
      </c>
      <c r="H29" s="944" t="s">
        <v>113</v>
      </c>
      <c r="I29" s="945"/>
      <c r="J29" s="945"/>
      <c r="K29" s="946"/>
      <c r="L29" s="953" t="s">
        <v>37</v>
      </c>
    </row>
    <row r="30" spans="1:12" ht="15" customHeight="1">
      <c r="A30" s="939"/>
      <c r="B30" s="1097"/>
      <c r="C30" s="941"/>
      <c r="D30" s="941"/>
      <c r="E30" s="91" t="s">
        <v>114</v>
      </c>
      <c r="F30" s="91" t="s">
        <v>123</v>
      </c>
      <c r="G30" s="943"/>
      <c r="H30" s="906" t="s">
        <v>115</v>
      </c>
      <c r="I30" s="908"/>
      <c r="J30" s="906" t="s">
        <v>106</v>
      </c>
      <c r="K30" s="908"/>
      <c r="L30" s="954"/>
    </row>
    <row r="31" spans="1:12" ht="20.399999999999999" customHeight="1">
      <c r="A31" s="635"/>
      <c r="B31" s="234" t="s">
        <v>79</v>
      </c>
      <c r="C31" s="251" t="s">
        <v>668</v>
      </c>
      <c r="D31" s="252" t="s">
        <v>360</v>
      </c>
      <c r="E31" s="252">
        <v>15</v>
      </c>
      <c r="F31" s="252">
        <v>2</v>
      </c>
      <c r="G31" s="252">
        <v>0.75</v>
      </c>
      <c r="H31" s="1027" t="s">
        <v>662</v>
      </c>
      <c r="I31" s="1027"/>
      <c r="J31" s="1092">
        <f>(1.166*E31)+(1.212*F31)</f>
        <v>19.913999999999998</v>
      </c>
      <c r="K31" s="1092"/>
      <c r="L31" s="636">
        <f>G31*J31</f>
        <v>14.935499999999998</v>
      </c>
    </row>
    <row r="32" spans="1:12" ht="15" customHeight="1" thickBot="1">
      <c r="A32" s="1079" t="s">
        <v>116</v>
      </c>
      <c r="B32" s="1080"/>
      <c r="C32" s="1081"/>
      <c r="D32" s="1081"/>
      <c r="E32" s="1081"/>
      <c r="F32" s="1081"/>
      <c r="G32" s="1081"/>
      <c r="H32" s="1081"/>
      <c r="I32" s="1081"/>
      <c r="J32" s="1081"/>
      <c r="K32" s="1081"/>
      <c r="L32" s="600">
        <f>SUM(L31:L31)</f>
        <v>14.935499999999998</v>
      </c>
    </row>
    <row r="33" spans="1:12" s="164" customFormat="1" ht="15" customHeight="1" thickBot="1">
      <c r="A33" s="1033" t="s">
        <v>117</v>
      </c>
      <c r="B33" s="1034"/>
      <c r="C33" s="1034"/>
      <c r="D33" s="1034"/>
      <c r="E33" s="1034"/>
      <c r="F33" s="1034"/>
      <c r="G33" s="1034"/>
      <c r="H33" s="1034"/>
      <c r="I33" s="1034"/>
      <c r="J33" s="1034"/>
      <c r="K33" s="1035"/>
      <c r="L33" s="620">
        <f>L19+L23+L28+L32</f>
        <v>4120.9573</v>
      </c>
    </row>
    <row r="34" spans="1:12" ht="14.4" customHeight="1" thickBot="1">
      <c r="A34" s="958" t="s">
        <v>646</v>
      </c>
      <c r="B34" s="959"/>
      <c r="C34" s="959"/>
      <c r="D34" s="959"/>
      <c r="E34" s="959"/>
      <c r="F34" s="959"/>
      <c r="G34" s="959"/>
      <c r="H34" s="959"/>
      <c r="I34" s="959"/>
      <c r="J34" s="959"/>
      <c r="K34" s="960"/>
      <c r="L34" s="685">
        <f>TRUNC(L33*0.2332,2)</f>
        <v>961</v>
      </c>
    </row>
    <row r="35" spans="1:12" s="164" customFormat="1" ht="15" customHeight="1" thickBot="1">
      <c r="A35" s="966" t="s">
        <v>647</v>
      </c>
      <c r="B35" s="967"/>
      <c r="C35" s="967"/>
      <c r="D35" s="967"/>
      <c r="E35" s="967"/>
      <c r="F35" s="967"/>
      <c r="G35" s="967"/>
      <c r="H35" s="967"/>
      <c r="I35" s="967"/>
      <c r="J35" s="967"/>
      <c r="K35" s="968"/>
      <c r="L35" s="612">
        <f>L34+L33</f>
        <v>5081.9573</v>
      </c>
    </row>
  </sheetData>
  <mergeCells count="63">
    <mergeCell ref="A32:K32"/>
    <mergeCell ref="A33:K33"/>
    <mergeCell ref="A35:K35"/>
    <mergeCell ref="E24:I24"/>
    <mergeCell ref="J24:K24"/>
    <mergeCell ref="E26:I26"/>
    <mergeCell ref="J26:K26"/>
    <mergeCell ref="A34:K34"/>
    <mergeCell ref="E6:G6"/>
    <mergeCell ref="E7:G7"/>
    <mergeCell ref="E8:G8"/>
    <mergeCell ref="H29:K29"/>
    <mergeCell ref="A29:A30"/>
    <mergeCell ref="B29:B30"/>
    <mergeCell ref="C29:C30"/>
    <mergeCell ref="E22:I22"/>
    <mergeCell ref="J22:K22"/>
    <mergeCell ref="A23:K23"/>
    <mergeCell ref="E25:I25"/>
    <mergeCell ref="J25:K25"/>
    <mergeCell ref="A28:K28"/>
    <mergeCell ref="D29:D30"/>
    <mergeCell ref="G29:G30"/>
    <mergeCell ref="E27:I27"/>
    <mergeCell ref="L29:L30"/>
    <mergeCell ref="H30:I30"/>
    <mergeCell ref="J30:K30"/>
    <mergeCell ref="H31:I31"/>
    <mergeCell ref="J31:K31"/>
    <mergeCell ref="E21:I21"/>
    <mergeCell ref="J21:K21"/>
    <mergeCell ref="J27:K27"/>
    <mergeCell ref="E13:I13"/>
    <mergeCell ref="J13:K13"/>
    <mergeCell ref="E15:I15"/>
    <mergeCell ref="J15:K15"/>
    <mergeCell ref="E14:I14"/>
    <mergeCell ref="J14:K14"/>
    <mergeCell ref="A16:K16"/>
    <mergeCell ref="A17:K17"/>
    <mergeCell ref="A18:K18"/>
    <mergeCell ref="A19:K19"/>
    <mergeCell ref="E20:I20"/>
    <mergeCell ref="J20:K20"/>
    <mergeCell ref="E9:G9"/>
    <mergeCell ref="A10:K10"/>
    <mergeCell ref="E11:I11"/>
    <mergeCell ref="J11:K11"/>
    <mergeCell ref="E12:I12"/>
    <mergeCell ref="J12:K12"/>
    <mergeCell ref="J4:L4"/>
    <mergeCell ref="E5:G5"/>
    <mergeCell ref="A1:L1"/>
    <mergeCell ref="A2:B2"/>
    <mergeCell ref="C2:L2"/>
    <mergeCell ref="A3:C3"/>
    <mergeCell ref="D3:I3"/>
    <mergeCell ref="J3:L3"/>
    <mergeCell ref="A4:A5"/>
    <mergeCell ref="B4:B5"/>
    <mergeCell ref="C4:C5"/>
    <mergeCell ref="D4:D5"/>
    <mergeCell ref="E4:I4"/>
  </mergeCells>
  <printOptions horizontalCentered="1"/>
  <pageMargins left="0.25" right="0.25" top="0.75" bottom="0.75" header="0.3" footer="0.3"/>
  <pageSetup paperSize="9" scale="57" fitToWidth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D7CA-9108-4507-9D43-DE9418FAA368}">
  <sheetPr>
    <tabColor theme="1" tint="0.34998626667073579"/>
  </sheetPr>
  <dimension ref="A1:L34"/>
  <sheetViews>
    <sheetView view="pageBreakPreview" topLeftCell="A4" zoomScale="70" zoomScaleNormal="100" zoomScaleSheetLayoutView="70" workbookViewId="0">
      <selection activeCell="T30" sqref="T30"/>
    </sheetView>
  </sheetViews>
  <sheetFormatPr defaultRowHeight="13.2"/>
  <cols>
    <col min="1" max="1" width="14" bestFit="1" customWidth="1"/>
    <col min="2" max="2" width="10.109375" bestFit="1" customWidth="1"/>
    <col min="3" max="3" width="42.77734375" customWidth="1"/>
    <col min="12" max="12" width="10.21875" bestFit="1" customWidth="1"/>
  </cols>
  <sheetData>
    <row r="1" spans="1:12" ht="18.600000000000001" thickTop="1" thickBot="1">
      <c r="A1" s="1098" t="s">
        <v>89</v>
      </c>
      <c r="B1" s="1099"/>
      <c r="C1" s="1099"/>
      <c r="D1" s="1099"/>
      <c r="E1" s="1099"/>
      <c r="F1" s="1099"/>
      <c r="G1" s="1099"/>
      <c r="H1" s="1099"/>
      <c r="I1" s="1099"/>
      <c r="J1" s="1099"/>
      <c r="K1" s="1099"/>
      <c r="L1" s="1100"/>
    </row>
    <row r="2" spans="1:12">
      <c r="A2" s="1101" t="s">
        <v>139</v>
      </c>
      <c r="B2" s="894"/>
      <c r="C2" s="1004" t="s">
        <v>409</v>
      </c>
      <c r="D2" s="1005"/>
      <c r="E2" s="1005"/>
      <c r="F2" s="1005"/>
      <c r="G2" s="1005"/>
      <c r="H2" s="1005"/>
      <c r="I2" s="1005"/>
      <c r="J2" s="1005"/>
      <c r="K2" s="1005"/>
      <c r="L2" s="1102"/>
    </row>
    <row r="3" spans="1:12" ht="13.8" thickBot="1">
      <c r="A3" s="898" t="s">
        <v>659</v>
      </c>
      <c r="B3" s="899"/>
      <c r="C3" s="900"/>
      <c r="D3" s="1077" t="s">
        <v>144</v>
      </c>
      <c r="E3" s="1077"/>
      <c r="F3" s="1077"/>
      <c r="G3" s="1077"/>
      <c r="H3" s="1077"/>
      <c r="I3" s="1077"/>
      <c r="J3" s="1077" t="s">
        <v>369</v>
      </c>
      <c r="K3" s="1077"/>
      <c r="L3" s="1103"/>
    </row>
    <row r="4" spans="1:12">
      <c r="A4" s="1104" t="s">
        <v>9</v>
      </c>
      <c r="B4" s="1096" t="s">
        <v>90</v>
      </c>
      <c r="C4" s="921" t="s">
        <v>38</v>
      </c>
      <c r="D4" s="921" t="s">
        <v>91</v>
      </c>
      <c r="E4" s="903" t="s">
        <v>82</v>
      </c>
      <c r="F4" s="904"/>
      <c r="G4" s="904"/>
      <c r="H4" s="904"/>
      <c r="I4" s="923"/>
      <c r="J4" s="903" t="s">
        <v>36</v>
      </c>
      <c r="K4" s="904"/>
      <c r="L4" s="1106"/>
    </row>
    <row r="5" spans="1:12" ht="26.4">
      <c r="A5" s="1105"/>
      <c r="B5" s="1097"/>
      <c r="C5" s="922"/>
      <c r="D5" s="922"/>
      <c r="E5" s="906" t="s">
        <v>92</v>
      </c>
      <c r="F5" s="907"/>
      <c r="G5" s="908"/>
      <c r="H5" s="53" t="s">
        <v>93</v>
      </c>
      <c r="I5" s="92" t="s">
        <v>94</v>
      </c>
      <c r="J5" s="53" t="s">
        <v>143</v>
      </c>
      <c r="K5" s="53" t="s">
        <v>95</v>
      </c>
      <c r="L5" s="81" t="s">
        <v>96</v>
      </c>
    </row>
    <row r="6" spans="1:12">
      <c r="A6" s="245"/>
      <c r="B6" s="244"/>
      <c r="C6" s="243"/>
      <c r="D6" s="242"/>
      <c r="E6" s="1093"/>
      <c r="F6" s="1094"/>
      <c r="G6" s="1095"/>
      <c r="H6" s="241"/>
      <c r="I6" s="241"/>
      <c r="J6" s="241"/>
      <c r="K6" s="241"/>
      <c r="L6" s="241"/>
    </row>
    <row r="7" spans="1:12" ht="14.4" customHeight="1">
      <c r="A7" s="245"/>
      <c r="B7" s="244"/>
      <c r="C7" s="248"/>
      <c r="D7" s="242"/>
      <c r="E7" s="1093"/>
      <c r="F7" s="1094"/>
      <c r="G7" s="1095"/>
      <c r="H7" s="241"/>
      <c r="I7" s="241"/>
      <c r="J7" s="241"/>
      <c r="K7" s="241"/>
      <c r="L7" s="241"/>
    </row>
    <row r="8" spans="1:12">
      <c r="A8" s="82"/>
      <c r="B8" s="240"/>
      <c r="C8" s="239"/>
      <c r="D8" s="56"/>
      <c r="E8" s="909"/>
      <c r="F8" s="910"/>
      <c r="G8" s="911"/>
      <c r="H8" s="176"/>
      <c r="I8" s="176"/>
      <c r="J8" s="176"/>
      <c r="K8" s="176"/>
      <c r="L8" s="175"/>
    </row>
    <row r="9" spans="1:12">
      <c r="A9" s="1107" t="s">
        <v>97</v>
      </c>
      <c r="B9" s="1080"/>
      <c r="C9" s="1081"/>
      <c r="D9" s="1081"/>
      <c r="E9" s="1081"/>
      <c r="F9" s="1081"/>
      <c r="G9" s="1081"/>
      <c r="H9" s="1081"/>
      <c r="I9" s="1081"/>
      <c r="J9" s="1081"/>
      <c r="K9" s="1081"/>
      <c r="L9" s="166">
        <f>SUM(L6:L8)</f>
        <v>0</v>
      </c>
    </row>
    <row r="10" spans="1:12" ht="26.4">
      <c r="A10" s="238" t="s">
        <v>9</v>
      </c>
      <c r="B10" s="237" t="s">
        <v>90</v>
      </c>
      <c r="C10" s="236" t="s">
        <v>98</v>
      </c>
      <c r="D10" s="236" t="s">
        <v>140</v>
      </c>
      <c r="E10" s="1082" t="s">
        <v>11</v>
      </c>
      <c r="F10" s="1083"/>
      <c r="G10" s="1083"/>
      <c r="H10" s="1083"/>
      <c r="I10" s="1084"/>
      <c r="J10" s="1082" t="s">
        <v>141</v>
      </c>
      <c r="K10" s="1084"/>
      <c r="L10" s="218" t="s">
        <v>99</v>
      </c>
    </row>
    <row r="11" spans="1:12">
      <c r="A11" s="603">
        <v>20109</v>
      </c>
      <c r="B11" s="172" t="s">
        <v>394</v>
      </c>
      <c r="C11" s="174" t="s">
        <v>643</v>
      </c>
      <c r="D11" s="170" t="s">
        <v>83</v>
      </c>
      <c r="E11" s="1109">
        <v>4.8999999999999998E-3</v>
      </c>
      <c r="F11" s="1109"/>
      <c r="G11" s="1109"/>
      <c r="H11" s="1109"/>
      <c r="I11" s="1109"/>
      <c r="J11" s="962">
        <v>19.16</v>
      </c>
      <c r="K11" s="962"/>
      <c r="L11" s="312">
        <f>E11*J11</f>
        <v>9.3883999999999995E-2</v>
      </c>
    </row>
    <row r="12" spans="1:12">
      <c r="A12" s="603">
        <v>20002</v>
      </c>
      <c r="B12" s="172" t="s">
        <v>394</v>
      </c>
      <c r="C12" s="174" t="s">
        <v>158</v>
      </c>
      <c r="D12" s="170" t="s">
        <v>83</v>
      </c>
      <c r="E12" s="1109">
        <v>1.4800000000000001E-2</v>
      </c>
      <c r="F12" s="1109"/>
      <c r="G12" s="1109"/>
      <c r="H12" s="1109"/>
      <c r="I12" s="1109"/>
      <c r="J12" s="962">
        <v>15.45</v>
      </c>
      <c r="K12" s="962"/>
      <c r="L12" s="312">
        <f>E12*J12</f>
        <v>0.22866</v>
      </c>
    </row>
    <row r="13" spans="1:12">
      <c r="A13" s="241"/>
      <c r="B13" s="241"/>
      <c r="C13" s="243"/>
      <c r="D13" s="241"/>
      <c r="E13" s="1085"/>
      <c r="F13" s="1085"/>
      <c r="G13" s="1085"/>
      <c r="H13" s="1085"/>
      <c r="I13" s="1085"/>
      <c r="J13" s="1086"/>
      <c r="K13" s="1086"/>
      <c r="L13" s="253"/>
    </row>
    <row r="14" spans="1:12">
      <c r="A14" s="240"/>
      <c r="B14" s="240"/>
      <c r="C14" s="254"/>
      <c r="D14" s="240"/>
      <c r="E14" s="1090"/>
      <c r="F14" s="1090"/>
      <c r="G14" s="1090"/>
      <c r="H14" s="1090"/>
      <c r="I14" s="1090"/>
      <c r="J14" s="1091"/>
      <c r="K14" s="1091"/>
      <c r="L14" s="229"/>
    </row>
    <row r="15" spans="1:12" ht="13.8" thickBot="1">
      <c r="A15" s="1107" t="s">
        <v>100</v>
      </c>
      <c r="B15" s="1080"/>
      <c r="C15" s="1081"/>
      <c r="D15" s="1081"/>
      <c r="E15" s="1081"/>
      <c r="F15" s="1081"/>
      <c r="G15" s="1081"/>
      <c r="H15" s="1081"/>
      <c r="I15" s="1081"/>
      <c r="J15" s="1081"/>
      <c r="K15" s="1081"/>
      <c r="L15" s="166">
        <f>SUM(L11:L14)</f>
        <v>0.322544</v>
      </c>
    </row>
    <row r="16" spans="1:12" ht="13.8" thickBot="1">
      <c r="A16" s="1108" t="s">
        <v>101</v>
      </c>
      <c r="B16" s="932"/>
      <c r="C16" s="932"/>
      <c r="D16" s="932"/>
      <c r="E16" s="932"/>
      <c r="F16" s="932"/>
      <c r="G16" s="932"/>
      <c r="H16" s="932"/>
      <c r="I16" s="932"/>
      <c r="J16" s="932"/>
      <c r="K16" s="933"/>
      <c r="L16" s="165">
        <f>L15*0.05</f>
        <v>1.6127200000000001E-2</v>
      </c>
    </row>
    <row r="17" spans="1:12" ht="13.8" thickBot="1">
      <c r="A17" s="1107" t="s">
        <v>102</v>
      </c>
      <c r="B17" s="1080"/>
      <c r="C17" s="1081"/>
      <c r="D17" s="1081"/>
      <c r="E17" s="1081"/>
      <c r="F17" s="1081"/>
      <c r="G17" s="1081"/>
      <c r="H17" s="1081"/>
      <c r="I17" s="1081"/>
      <c r="J17" s="1081"/>
      <c r="K17" s="1081"/>
      <c r="L17" s="83">
        <v>0.5</v>
      </c>
    </row>
    <row r="18" spans="1:12" ht="13.8" thickBot="1">
      <c r="A18" s="1108" t="s">
        <v>103</v>
      </c>
      <c r="B18" s="932"/>
      <c r="C18" s="932"/>
      <c r="D18" s="932"/>
      <c r="E18" s="932"/>
      <c r="F18" s="932"/>
      <c r="G18" s="932"/>
      <c r="H18" s="932"/>
      <c r="I18" s="932"/>
      <c r="J18" s="932"/>
      <c r="K18" s="933"/>
      <c r="L18" s="165">
        <f>ROUND((L9+L15+L16)/L17,2)</f>
        <v>0.68</v>
      </c>
    </row>
    <row r="19" spans="1:12" ht="26.4">
      <c r="A19" s="238" t="s">
        <v>9</v>
      </c>
      <c r="B19" s="237" t="s">
        <v>90</v>
      </c>
      <c r="C19" s="236" t="s">
        <v>104</v>
      </c>
      <c r="D19" s="236" t="s">
        <v>28</v>
      </c>
      <c r="E19" s="1082" t="s">
        <v>105</v>
      </c>
      <c r="F19" s="1083"/>
      <c r="G19" s="1083"/>
      <c r="H19" s="1083"/>
      <c r="I19" s="1084"/>
      <c r="J19" s="1082" t="s">
        <v>106</v>
      </c>
      <c r="K19" s="1084"/>
      <c r="L19" s="218" t="s">
        <v>37</v>
      </c>
    </row>
    <row r="20" spans="1:12" ht="52.8">
      <c r="A20" s="136">
        <v>38053</v>
      </c>
      <c r="B20" s="241" t="s">
        <v>222</v>
      </c>
      <c r="C20" s="247" t="s">
        <v>406</v>
      </c>
      <c r="D20" s="136" t="s">
        <v>6</v>
      </c>
      <c r="E20" s="1110">
        <v>1.01</v>
      </c>
      <c r="F20" s="1087"/>
      <c r="G20" s="1087"/>
      <c r="H20" s="1087"/>
      <c r="I20" s="1087"/>
      <c r="J20" s="1111">
        <v>23.38</v>
      </c>
      <c r="K20" s="1111"/>
      <c r="L20" s="235">
        <f>E20*J20</f>
        <v>23.613799999999998</v>
      </c>
    </row>
    <row r="21" spans="1:12">
      <c r="A21" s="249"/>
      <c r="B21" s="241"/>
      <c r="C21" s="248"/>
      <c r="D21" s="241"/>
      <c r="E21" s="1085"/>
      <c r="F21" s="1085"/>
      <c r="G21" s="1085"/>
      <c r="H21" s="1085"/>
      <c r="I21" s="1085"/>
      <c r="J21" s="1089"/>
      <c r="K21" s="1089"/>
      <c r="L21" s="204"/>
    </row>
    <row r="22" spans="1:12">
      <c r="A22" s="1107" t="s">
        <v>107</v>
      </c>
      <c r="B22" s="1080"/>
      <c r="C22" s="1081"/>
      <c r="D22" s="1081"/>
      <c r="E22" s="1081"/>
      <c r="F22" s="1081"/>
      <c r="G22" s="1081"/>
      <c r="H22" s="1081"/>
      <c r="I22" s="1081"/>
      <c r="J22" s="1081"/>
      <c r="K22" s="1081"/>
      <c r="L22" s="166">
        <f>SUM(L20:L21)</f>
        <v>23.613799999999998</v>
      </c>
    </row>
    <row r="23" spans="1:12" ht="26.4">
      <c r="A23" s="238" t="s">
        <v>9</v>
      </c>
      <c r="B23" s="237" t="s">
        <v>90</v>
      </c>
      <c r="C23" s="236" t="s">
        <v>108</v>
      </c>
      <c r="D23" s="236" t="s">
        <v>28</v>
      </c>
      <c r="E23" s="1082" t="s">
        <v>105</v>
      </c>
      <c r="F23" s="1083"/>
      <c r="G23" s="1083"/>
      <c r="H23" s="1083"/>
      <c r="I23" s="1084"/>
      <c r="J23" s="1082" t="s">
        <v>106</v>
      </c>
      <c r="K23" s="1084"/>
      <c r="L23" s="218" t="s">
        <v>37</v>
      </c>
    </row>
    <row r="24" spans="1:12" ht="19.2" customHeight="1">
      <c r="A24" s="241"/>
      <c r="B24" s="241"/>
      <c r="C24" s="248"/>
      <c r="D24" s="241"/>
      <c r="E24" s="1085"/>
      <c r="F24" s="1085"/>
      <c r="G24" s="1085"/>
      <c r="H24" s="1085"/>
      <c r="I24" s="1085"/>
      <c r="J24" s="1085"/>
      <c r="K24" s="1085"/>
      <c r="L24" s="204"/>
    </row>
    <row r="25" spans="1:12" ht="18.600000000000001" customHeight="1">
      <c r="A25" s="241"/>
      <c r="B25" s="241"/>
      <c r="C25" s="247"/>
      <c r="D25" s="241"/>
      <c r="E25" s="1085"/>
      <c r="F25" s="1085"/>
      <c r="G25" s="1085"/>
      <c r="H25" s="1085"/>
      <c r="I25" s="1085"/>
      <c r="J25" s="1089"/>
      <c r="K25" s="1089"/>
      <c r="L25" s="204"/>
    </row>
    <row r="26" spans="1:12" ht="18" customHeight="1">
      <c r="A26" s="241"/>
      <c r="B26" s="241"/>
      <c r="C26" s="247"/>
      <c r="D26" s="241"/>
      <c r="E26" s="1085"/>
      <c r="F26" s="1085"/>
      <c r="G26" s="1085"/>
      <c r="H26" s="1085"/>
      <c r="I26" s="1085"/>
      <c r="J26" s="1089"/>
      <c r="K26" s="1089"/>
      <c r="L26" s="204"/>
    </row>
    <row r="27" spans="1:12" ht="13.8" thickBot="1">
      <c r="A27" s="1107" t="s">
        <v>109</v>
      </c>
      <c r="B27" s="1080"/>
      <c r="C27" s="1081"/>
      <c r="D27" s="1081"/>
      <c r="E27" s="1081"/>
      <c r="F27" s="1081"/>
      <c r="G27" s="1081"/>
      <c r="H27" s="1081"/>
      <c r="I27" s="1081"/>
      <c r="J27" s="1081"/>
      <c r="K27" s="1081"/>
      <c r="L27" s="166">
        <f>SUM(L24:L26)</f>
        <v>0</v>
      </c>
    </row>
    <row r="28" spans="1:12">
      <c r="A28" s="1112" t="s">
        <v>9</v>
      </c>
      <c r="B28" s="1096" t="s">
        <v>90</v>
      </c>
      <c r="C28" s="940" t="s">
        <v>110</v>
      </c>
      <c r="D28" s="940" t="s">
        <v>28</v>
      </c>
      <c r="E28" s="91" t="s">
        <v>111</v>
      </c>
      <c r="F28" s="91" t="s">
        <v>111</v>
      </c>
      <c r="G28" s="942" t="s">
        <v>112</v>
      </c>
      <c r="H28" s="944" t="s">
        <v>113</v>
      </c>
      <c r="I28" s="945"/>
      <c r="J28" s="945"/>
      <c r="K28" s="946"/>
      <c r="L28" s="1115" t="s">
        <v>37</v>
      </c>
    </row>
    <row r="29" spans="1:12">
      <c r="A29" s="1113"/>
      <c r="B29" s="1097"/>
      <c r="C29" s="941"/>
      <c r="D29" s="941"/>
      <c r="E29" s="91" t="s">
        <v>114</v>
      </c>
      <c r="F29" s="91" t="s">
        <v>123</v>
      </c>
      <c r="G29" s="943"/>
      <c r="H29" s="906" t="s">
        <v>115</v>
      </c>
      <c r="I29" s="908"/>
      <c r="J29" s="906" t="s">
        <v>106</v>
      </c>
      <c r="K29" s="908"/>
      <c r="L29" s="1116"/>
    </row>
    <row r="30" spans="1:12">
      <c r="A30" s="250"/>
      <c r="B30" s="234"/>
      <c r="C30" s="251"/>
      <c r="D30" s="252"/>
      <c r="E30" s="252"/>
      <c r="F30" s="252"/>
      <c r="G30" s="252"/>
      <c r="H30" s="1117"/>
      <c r="I30" s="1117"/>
      <c r="J30" s="1092"/>
      <c r="K30" s="1092"/>
      <c r="L30" s="252"/>
    </row>
    <row r="31" spans="1:12" ht="13.8" thickBot="1">
      <c r="A31" s="1107" t="s">
        <v>116</v>
      </c>
      <c r="B31" s="1080"/>
      <c r="C31" s="1081"/>
      <c r="D31" s="1081"/>
      <c r="E31" s="1081"/>
      <c r="F31" s="1081"/>
      <c r="G31" s="1081"/>
      <c r="H31" s="1081"/>
      <c r="I31" s="1081"/>
      <c r="J31" s="1081"/>
      <c r="K31" s="1081"/>
      <c r="L31" s="166">
        <f>SUM(L30:L30)</f>
        <v>0</v>
      </c>
    </row>
    <row r="32" spans="1:12" ht="16.2" customHeight="1" thickBot="1">
      <c r="A32" s="1114" t="s">
        <v>117</v>
      </c>
      <c r="B32" s="948"/>
      <c r="C32" s="948"/>
      <c r="D32" s="948"/>
      <c r="E32" s="948"/>
      <c r="F32" s="948"/>
      <c r="G32" s="948"/>
      <c r="H32" s="948"/>
      <c r="I32" s="948"/>
      <c r="J32" s="948"/>
      <c r="K32" s="949"/>
      <c r="L32" s="165">
        <f>L18+L22+L27+L31</f>
        <v>24.293799999999997</v>
      </c>
    </row>
    <row r="33" spans="1:12" ht="16.2" customHeight="1" thickBot="1">
      <c r="A33" s="958" t="s">
        <v>646</v>
      </c>
      <c r="B33" s="959"/>
      <c r="C33" s="959"/>
      <c r="D33" s="959"/>
      <c r="E33" s="959"/>
      <c r="F33" s="959"/>
      <c r="G33" s="959"/>
      <c r="H33" s="959"/>
      <c r="I33" s="959"/>
      <c r="J33" s="959"/>
      <c r="K33" s="960"/>
      <c r="L33" s="685">
        <f>TRUNC(L32*0.2332,2)</f>
        <v>5.66</v>
      </c>
    </row>
    <row r="34" spans="1:12" ht="13.8" customHeight="1" thickBot="1">
      <c r="A34" s="966" t="s">
        <v>647</v>
      </c>
      <c r="B34" s="967"/>
      <c r="C34" s="967"/>
      <c r="D34" s="967"/>
      <c r="E34" s="967"/>
      <c r="F34" s="967"/>
      <c r="G34" s="967"/>
      <c r="H34" s="967"/>
      <c r="I34" s="967"/>
      <c r="J34" s="967"/>
      <c r="K34" s="968"/>
      <c r="L34" s="612">
        <f>L33+L32</f>
        <v>29.953799999999998</v>
      </c>
    </row>
  </sheetData>
  <mergeCells count="62">
    <mergeCell ref="A32:K32"/>
    <mergeCell ref="A34:K34"/>
    <mergeCell ref="L28:L29"/>
    <mergeCell ref="H29:I29"/>
    <mergeCell ref="J29:K29"/>
    <mergeCell ref="H30:I30"/>
    <mergeCell ref="J30:K30"/>
    <mergeCell ref="A31:K31"/>
    <mergeCell ref="A33:K33"/>
    <mergeCell ref="E26:I26"/>
    <mergeCell ref="J26:K26"/>
    <mergeCell ref="A27:K27"/>
    <mergeCell ref="A28:A29"/>
    <mergeCell ref="B28:B29"/>
    <mergeCell ref="C28:C29"/>
    <mergeCell ref="D28:D29"/>
    <mergeCell ref="G28:G29"/>
    <mergeCell ref="H28:K28"/>
    <mergeCell ref="E25:I25"/>
    <mergeCell ref="J25:K25"/>
    <mergeCell ref="E19:I19"/>
    <mergeCell ref="J19:K19"/>
    <mergeCell ref="E20:I20"/>
    <mergeCell ref="J20:K20"/>
    <mergeCell ref="E21:I21"/>
    <mergeCell ref="J21:K21"/>
    <mergeCell ref="A22:K22"/>
    <mergeCell ref="E23:I23"/>
    <mergeCell ref="J23:K23"/>
    <mergeCell ref="E24:I24"/>
    <mergeCell ref="J24:K24"/>
    <mergeCell ref="A18:K18"/>
    <mergeCell ref="E11:I11"/>
    <mergeCell ref="J11:K11"/>
    <mergeCell ref="E12:I12"/>
    <mergeCell ref="J12:K12"/>
    <mergeCell ref="E13:I13"/>
    <mergeCell ref="J13:K13"/>
    <mergeCell ref="E14:I14"/>
    <mergeCell ref="J14:K14"/>
    <mergeCell ref="A15:K15"/>
    <mergeCell ref="A16:K16"/>
    <mergeCell ref="A17:K17"/>
    <mergeCell ref="E10:I10"/>
    <mergeCell ref="J10:K10"/>
    <mergeCell ref="A4:A5"/>
    <mergeCell ref="B4:B5"/>
    <mergeCell ref="C4:C5"/>
    <mergeCell ref="D4:D5"/>
    <mergeCell ref="E4:I4"/>
    <mergeCell ref="J4:L4"/>
    <mergeCell ref="E5:G5"/>
    <mergeCell ref="E6:G6"/>
    <mergeCell ref="E7:G7"/>
    <mergeCell ref="E8:G8"/>
    <mergeCell ref="A9:K9"/>
    <mergeCell ref="A1:L1"/>
    <mergeCell ref="A2:B2"/>
    <mergeCell ref="C2:L2"/>
    <mergeCell ref="A3:C3"/>
    <mergeCell ref="D3:I3"/>
    <mergeCell ref="J3:L3"/>
  </mergeCells>
  <pageMargins left="0.511811024" right="0.511811024" top="0.78740157499999996" bottom="0.78740157499999996" header="0.31496062000000002" footer="0.31496062000000002"/>
  <pageSetup paperSize="9" scale="63" orientation="portrait" horizontalDpi="360" verticalDpi="36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93696-3F29-4DBA-97AA-A10E3CB1E62F}">
  <sheetPr>
    <tabColor theme="3" tint="0.39997558519241921"/>
  </sheetPr>
  <dimension ref="A1:L34"/>
  <sheetViews>
    <sheetView view="pageBreakPreview" topLeftCell="A7" zoomScale="85" zoomScaleNormal="100" zoomScaleSheetLayoutView="85" workbookViewId="0">
      <selection activeCell="A27" sqref="A27:K27"/>
    </sheetView>
  </sheetViews>
  <sheetFormatPr defaultRowHeight="13.2"/>
  <cols>
    <col min="1" max="1" width="13.77734375" bestFit="1" customWidth="1"/>
    <col min="2" max="2" width="10.109375" bestFit="1" customWidth="1"/>
    <col min="3" max="3" width="61.88671875" customWidth="1"/>
    <col min="12" max="12" width="15.33203125" bestFit="1" customWidth="1"/>
  </cols>
  <sheetData>
    <row r="1" spans="1:12" ht="18.600000000000001" thickTop="1" thickBot="1">
      <c r="A1" s="1098" t="s">
        <v>89</v>
      </c>
      <c r="B1" s="1099"/>
      <c r="C1" s="1099"/>
      <c r="D1" s="1099"/>
      <c r="E1" s="1099"/>
      <c r="F1" s="1099"/>
      <c r="G1" s="1099"/>
      <c r="H1" s="1099"/>
      <c r="I1" s="1099"/>
      <c r="J1" s="1099"/>
      <c r="K1" s="1099"/>
      <c r="L1" s="1100"/>
    </row>
    <row r="2" spans="1:12">
      <c r="A2" s="1101" t="s">
        <v>139</v>
      </c>
      <c r="B2" s="894"/>
      <c r="C2" s="1004" t="s">
        <v>480</v>
      </c>
      <c r="D2" s="1005"/>
      <c r="E2" s="1005"/>
      <c r="F2" s="1005"/>
      <c r="G2" s="1005"/>
      <c r="H2" s="1005"/>
      <c r="I2" s="1005"/>
      <c r="J2" s="1005"/>
      <c r="K2" s="1005"/>
      <c r="L2" s="1102"/>
    </row>
    <row r="3" spans="1:12" ht="13.8" thickBot="1">
      <c r="A3" s="898" t="s">
        <v>659</v>
      </c>
      <c r="B3" s="899"/>
      <c r="C3" s="900"/>
      <c r="D3" s="1077" t="s">
        <v>144</v>
      </c>
      <c r="E3" s="1077"/>
      <c r="F3" s="1077"/>
      <c r="G3" s="1077"/>
      <c r="H3" s="1077"/>
      <c r="I3" s="1077"/>
      <c r="J3" s="1077" t="s">
        <v>669</v>
      </c>
      <c r="K3" s="1077"/>
      <c r="L3" s="1103"/>
    </row>
    <row r="4" spans="1:12">
      <c r="A4" s="1104" t="s">
        <v>9</v>
      </c>
      <c r="B4" s="1096" t="s">
        <v>90</v>
      </c>
      <c r="C4" s="921" t="s">
        <v>38</v>
      </c>
      <c r="D4" s="921" t="s">
        <v>91</v>
      </c>
      <c r="E4" s="903" t="s">
        <v>82</v>
      </c>
      <c r="F4" s="904"/>
      <c r="G4" s="904"/>
      <c r="H4" s="904"/>
      <c r="I4" s="923"/>
      <c r="J4" s="903" t="s">
        <v>36</v>
      </c>
      <c r="K4" s="904"/>
      <c r="L4" s="1106"/>
    </row>
    <row r="5" spans="1:12" ht="26.4">
      <c r="A5" s="1105"/>
      <c r="B5" s="1097"/>
      <c r="C5" s="922"/>
      <c r="D5" s="922"/>
      <c r="E5" s="906" t="s">
        <v>92</v>
      </c>
      <c r="F5" s="907"/>
      <c r="G5" s="908"/>
      <c r="H5" s="53" t="s">
        <v>93</v>
      </c>
      <c r="I5" s="92" t="s">
        <v>94</v>
      </c>
      <c r="J5" s="53" t="s">
        <v>143</v>
      </c>
      <c r="K5" s="53" t="s">
        <v>95</v>
      </c>
      <c r="L5" s="81" t="s">
        <v>96</v>
      </c>
    </row>
    <row r="6" spans="1:12">
      <c r="A6" s="245">
        <v>20069</v>
      </c>
      <c r="B6" s="102" t="s">
        <v>79</v>
      </c>
      <c r="C6" s="243" t="s">
        <v>482</v>
      </c>
      <c r="D6" s="242"/>
      <c r="E6" s="1093">
        <v>1</v>
      </c>
      <c r="F6" s="1094"/>
      <c r="G6" s="1095"/>
      <c r="H6" s="241">
        <v>8</v>
      </c>
      <c r="I6" s="241"/>
      <c r="J6" s="241">
        <f>((20786.65/20)/8)/8</f>
        <v>16.2395703125</v>
      </c>
      <c r="K6" s="241"/>
      <c r="L6" s="141">
        <f>H6*J6*E6</f>
        <v>129.9165625</v>
      </c>
    </row>
    <row r="7" spans="1:12">
      <c r="A7" s="245"/>
      <c r="B7" s="244"/>
      <c r="C7" s="243"/>
      <c r="D7" s="242"/>
      <c r="E7" s="1093"/>
      <c r="F7" s="1094"/>
      <c r="G7" s="1095"/>
      <c r="H7" s="241"/>
      <c r="I7" s="241"/>
      <c r="J7" s="241"/>
      <c r="K7" s="241"/>
      <c r="L7" s="241"/>
    </row>
    <row r="8" spans="1:12">
      <c r="A8" s="82"/>
      <c r="B8" s="240"/>
      <c r="C8" s="239"/>
      <c r="D8" s="56"/>
      <c r="E8" s="909"/>
      <c r="F8" s="910"/>
      <c r="G8" s="911"/>
      <c r="H8" s="176"/>
      <c r="I8" s="176"/>
      <c r="J8" s="176"/>
      <c r="K8" s="176"/>
      <c r="L8" s="175"/>
    </row>
    <row r="9" spans="1:12">
      <c r="A9" s="1107" t="s">
        <v>97</v>
      </c>
      <c r="B9" s="1080"/>
      <c r="C9" s="1081"/>
      <c r="D9" s="1081"/>
      <c r="E9" s="1081"/>
      <c r="F9" s="1081"/>
      <c r="G9" s="1081"/>
      <c r="H9" s="1081"/>
      <c r="I9" s="1081"/>
      <c r="J9" s="1081"/>
      <c r="K9" s="1081"/>
      <c r="L9" s="166">
        <f>SUM(L6:L8)</f>
        <v>129.9165625</v>
      </c>
    </row>
    <row r="10" spans="1:12" ht="26.4">
      <c r="A10" s="238" t="s">
        <v>9</v>
      </c>
      <c r="B10" s="237" t="s">
        <v>90</v>
      </c>
      <c r="C10" s="236" t="s">
        <v>98</v>
      </c>
      <c r="D10" s="236" t="s">
        <v>140</v>
      </c>
      <c r="E10" s="1082" t="s">
        <v>11</v>
      </c>
      <c r="F10" s="1083"/>
      <c r="G10" s="1083"/>
      <c r="H10" s="1083"/>
      <c r="I10" s="1084"/>
      <c r="J10" s="1082" t="s">
        <v>141</v>
      </c>
      <c r="K10" s="1084"/>
      <c r="L10" s="218" t="s">
        <v>99</v>
      </c>
    </row>
    <row r="11" spans="1:12">
      <c r="A11" s="241"/>
      <c r="B11" s="241"/>
      <c r="C11" s="243"/>
      <c r="D11" s="241"/>
      <c r="E11" s="1085"/>
      <c r="F11" s="1085"/>
      <c r="G11" s="1085"/>
      <c r="H11" s="1085"/>
      <c r="I11" s="1085"/>
      <c r="J11" s="925"/>
      <c r="K11" s="925"/>
      <c r="L11" s="312"/>
    </row>
    <row r="12" spans="1:12">
      <c r="A12" s="241"/>
      <c r="B12" s="241"/>
      <c r="C12" s="243"/>
      <c r="D12" s="241"/>
      <c r="E12" s="1085"/>
      <c r="F12" s="1085"/>
      <c r="G12" s="1085"/>
      <c r="H12" s="1085"/>
      <c r="I12" s="1085"/>
      <c r="J12" s="925"/>
      <c r="K12" s="925"/>
      <c r="L12" s="312"/>
    </row>
    <row r="13" spans="1:12">
      <c r="A13" s="241"/>
      <c r="B13" s="241"/>
      <c r="C13" s="243"/>
      <c r="D13" s="241"/>
      <c r="E13" s="1085"/>
      <c r="F13" s="1085"/>
      <c r="G13" s="1085"/>
      <c r="H13" s="1085"/>
      <c r="I13" s="1085"/>
      <c r="J13" s="1086"/>
      <c r="K13" s="1086"/>
      <c r="L13" s="253"/>
    </row>
    <row r="14" spans="1:12">
      <c r="A14" s="240"/>
      <c r="B14" s="240"/>
      <c r="C14" s="254"/>
      <c r="D14" s="240"/>
      <c r="E14" s="1090"/>
      <c r="F14" s="1090"/>
      <c r="G14" s="1090"/>
      <c r="H14" s="1090"/>
      <c r="I14" s="1090"/>
      <c r="J14" s="1091"/>
      <c r="K14" s="1091"/>
      <c r="L14" s="229"/>
    </row>
    <row r="15" spans="1:12" ht="13.8" thickBot="1">
      <c r="A15" s="1107" t="s">
        <v>100</v>
      </c>
      <c r="B15" s="1080"/>
      <c r="C15" s="1081"/>
      <c r="D15" s="1081"/>
      <c r="E15" s="1081"/>
      <c r="F15" s="1081"/>
      <c r="G15" s="1081"/>
      <c r="H15" s="1081"/>
      <c r="I15" s="1081"/>
      <c r="J15" s="1081"/>
      <c r="K15" s="1081"/>
      <c r="L15" s="166">
        <f>SUM(L11:L14)</f>
        <v>0</v>
      </c>
    </row>
    <row r="16" spans="1:12" ht="13.8" thickBot="1">
      <c r="A16" s="1108" t="s">
        <v>101</v>
      </c>
      <c r="B16" s="932"/>
      <c r="C16" s="932"/>
      <c r="D16" s="932"/>
      <c r="E16" s="932"/>
      <c r="F16" s="932"/>
      <c r="G16" s="932"/>
      <c r="H16" s="932"/>
      <c r="I16" s="932"/>
      <c r="J16" s="932"/>
      <c r="K16" s="933"/>
      <c r="L16" s="165">
        <f>L15*0.05</f>
        <v>0</v>
      </c>
    </row>
    <row r="17" spans="1:12" ht="13.8" thickBot="1">
      <c r="A17" s="1107" t="s">
        <v>102</v>
      </c>
      <c r="B17" s="1080"/>
      <c r="C17" s="1081"/>
      <c r="D17" s="1081"/>
      <c r="E17" s="1081"/>
      <c r="F17" s="1081"/>
      <c r="G17" s="1081"/>
      <c r="H17" s="1081"/>
      <c r="I17" s="1081"/>
      <c r="J17" s="1081"/>
      <c r="K17" s="1081"/>
      <c r="L17" s="83">
        <v>0.5</v>
      </c>
    </row>
    <row r="18" spans="1:12" ht="13.8" thickBot="1">
      <c r="A18" s="1108" t="s">
        <v>103</v>
      </c>
      <c r="B18" s="932"/>
      <c r="C18" s="932"/>
      <c r="D18" s="932"/>
      <c r="E18" s="932"/>
      <c r="F18" s="932"/>
      <c r="G18" s="932"/>
      <c r="H18" s="932"/>
      <c r="I18" s="932"/>
      <c r="J18" s="932"/>
      <c r="K18" s="933"/>
      <c r="L18" s="165">
        <f>ROUND((L9+L15+L16)/L17,2)</f>
        <v>259.83</v>
      </c>
    </row>
    <row r="19" spans="1:12" ht="26.4">
      <c r="A19" s="238" t="s">
        <v>9</v>
      </c>
      <c r="B19" s="237" t="s">
        <v>90</v>
      </c>
      <c r="C19" s="236" t="s">
        <v>104</v>
      </c>
      <c r="D19" s="236" t="s">
        <v>28</v>
      </c>
      <c r="E19" s="1082" t="s">
        <v>105</v>
      </c>
      <c r="F19" s="1083"/>
      <c r="G19" s="1083"/>
      <c r="H19" s="1083"/>
      <c r="I19" s="1084"/>
      <c r="J19" s="1082" t="s">
        <v>106</v>
      </c>
      <c r="K19" s="1084"/>
      <c r="L19" s="218" t="s">
        <v>37</v>
      </c>
    </row>
    <row r="20" spans="1:12" ht="16.8" customHeight="1">
      <c r="A20" s="136"/>
      <c r="B20" s="241"/>
      <c r="C20" s="247"/>
      <c r="D20" s="136"/>
      <c r="E20" s="1110"/>
      <c r="F20" s="1087"/>
      <c r="G20" s="1087"/>
      <c r="H20" s="1087"/>
      <c r="I20" s="1087"/>
      <c r="J20" s="1111"/>
      <c r="K20" s="1111"/>
      <c r="L20" s="235"/>
    </row>
    <row r="21" spans="1:12">
      <c r="A21" s="249"/>
      <c r="B21" s="241"/>
      <c r="C21" s="248"/>
      <c r="D21" s="241"/>
      <c r="E21" s="1085"/>
      <c r="F21" s="1085"/>
      <c r="G21" s="1085"/>
      <c r="H21" s="1085"/>
      <c r="I21" s="1085"/>
      <c r="J21" s="1089"/>
      <c r="K21" s="1089"/>
      <c r="L21" s="204"/>
    </row>
    <row r="22" spans="1:12">
      <c r="A22" s="1107" t="s">
        <v>107</v>
      </c>
      <c r="B22" s="1080"/>
      <c r="C22" s="1081"/>
      <c r="D22" s="1081"/>
      <c r="E22" s="1081"/>
      <c r="F22" s="1081"/>
      <c r="G22" s="1081"/>
      <c r="H22" s="1081"/>
      <c r="I22" s="1081"/>
      <c r="J22" s="1081"/>
      <c r="K22" s="1081"/>
      <c r="L22" s="166">
        <f>SUM(L20:L21)</f>
        <v>0</v>
      </c>
    </row>
    <row r="23" spans="1:12" ht="26.4">
      <c r="A23" s="238" t="s">
        <v>9</v>
      </c>
      <c r="B23" s="237" t="s">
        <v>90</v>
      </c>
      <c r="C23" s="236" t="s">
        <v>108</v>
      </c>
      <c r="D23" s="236" t="s">
        <v>28</v>
      </c>
      <c r="E23" s="1082" t="s">
        <v>105</v>
      </c>
      <c r="F23" s="1083"/>
      <c r="G23" s="1083"/>
      <c r="H23" s="1083"/>
      <c r="I23" s="1084"/>
      <c r="J23" s="1082" t="s">
        <v>106</v>
      </c>
      <c r="K23" s="1084"/>
      <c r="L23" s="218" t="s">
        <v>37</v>
      </c>
    </row>
    <row r="24" spans="1:12" ht="39.6">
      <c r="A24" s="112">
        <v>40333</v>
      </c>
      <c r="B24" s="102" t="s">
        <v>79</v>
      </c>
      <c r="C24" s="201" t="s">
        <v>484</v>
      </c>
      <c r="D24" s="112" t="s">
        <v>7</v>
      </c>
      <c r="E24" s="1123">
        <f>((10+10.1))*7</f>
        <v>140.70000000000002</v>
      </c>
      <c r="F24" s="1124"/>
      <c r="G24" s="1124"/>
      <c r="H24" s="1124"/>
      <c r="I24" s="1125"/>
      <c r="J24" s="1126">
        <f>383.17/1.2332</f>
        <v>310.71196886149852</v>
      </c>
      <c r="K24" s="1127"/>
      <c r="L24" s="316">
        <f>E24*J24</f>
        <v>43717.174018812846</v>
      </c>
    </row>
    <row r="25" spans="1:12">
      <c r="A25" s="221">
        <v>40230</v>
      </c>
      <c r="B25" s="102" t="s">
        <v>79</v>
      </c>
      <c r="C25" s="222" t="s">
        <v>670</v>
      </c>
      <c r="D25" s="221" t="s">
        <v>147</v>
      </c>
      <c r="E25" s="1085">
        <f>54.8*7*0.3</f>
        <v>115.07999999999998</v>
      </c>
      <c r="F25" s="1085"/>
      <c r="G25" s="1085"/>
      <c r="H25" s="1085"/>
      <c r="I25" s="1085"/>
      <c r="J25" s="925">
        <f>5.27/1.2332</f>
        <v>4.273434965942263</v>
      </c>
      <c r="K25" s="925"/>
      <c r="L25" s="204">
        <f>E25*J25</f>
        <v>491.78689588063554</v>
      </c>
    </row>
    <row r="26" spans="1:12">
      <c r="A26" s="221">
        <v>40303</v>
      </c>
      <c r="B26" s="102" t="s">
        <v>79</v>
      </c>
      <c r="C26" s="201" t="s">
        <v>481</v>
      </c>
      <c r="D26" s="221" t="s">
        <v>147</v>
      </c>
      <c r="E26" s="1120">
        <f>54.8*7*0.3</f>
        <v>115.07999999999998</v>
      </c>
      <c r="F26" s="1121"/>
      <c r="G26" s="1121"/>
      <c r="H26" s="1121"/>
      <c r="I26" s="1122"/>
      <c r="J26" s="1118">
        <v>46.1</v>
      </c>
      <c r="K26" s="1119"/>
      <c r="L26" s="204">
        <f>E26*J26</f>
        <v>5305.1879999999992</v>
      </c>
    </row>
    <row r="27" spans="1:12" ht="13.8" thickBot="1">
      <c r="A27" s="1107" t="s">
        <v>109</v>
      </c>
      <c r="B27" s="1080"/>
      <c r="C27" s="1081"/>
      <c r="D27" s="1081"/>
      <c r="E27" s="1081"/>
      <c r="F27" s="1081"/>
      <c r="G27" s="1081"/>
      <c r="H27" s="1081"/>
      <c r="I27" s="1081"/>
      <c r="J27" s="1081"/>
      <c r="K27" s="1081"/>
      <c r="L27" s="166">
        <f>SUM(L24:L26)</f>
        <v>49514.148914693484</v>
      </c>
    </row>
    <row r="28" spans="1:12">
      <c r="A28" s="1112" t="s">
        <v>9</v>
      </c>
      <c r="B28" s="1096" t="s">
        <v>90</v>
      </c>
      <c r="C28" s="940" t="s">
        <v>110</v>
      </c>
      <c r="D28" s="940" t="s">
        <v>28</v>
      </c>
      <c r="E28" s="91" t="s">
        <v>111</v>
      </c>
      <c r="F28" s="91" t="s">
        <v>111</v>
      </c>
      <c r="G28" s="942" t="s">
        <v>112</v>
      </c>
      <c r="H28" s="944" t="s">
        <v>113</v>
      </c>
      <c r="I28" s="945"/>
      <c r="J28" s="945"/>
      <c r="K28" s="946"/>
      <c r="L28" s="1115" t="s">
        <v>37</v>
      </c>
    </row>
    <row r="29" spans="1:12">
      <c r="A29" s="1113"/>
      <c r="B29" s="1097"/>
      <c r="C29" s="941"/>
      <c r="D29" s="941"/>
      <c r="E29" s="91" t="s">
        <v>114</v>
      </c>
      <c r="F29" s="91" t="s">
        <v>123</v>
      </c>
      <c r="G29" s="943"/>
      <c r="H29" s="906" t="s">
        <v>115</v>
      </c>
      <c r="I29" s="908"/>
      <c r="J29" s="906" t="s">
        <v>106</v>
      </c>
      <c r="K29" s="908"/>
      <c r="L29" s="1116"/>
    </row>
    <row r="30" spans="1:12">
      <c r="A30" s="250"/>
      <c r="B30" s="234"/>
      <c r="C30" s="251"/>
      <c r="D30" s="252"/>
      <c r="E30" s="252"/>
      <c r="F30" s="252"/>
      <c r="G30" s="252"/>
      <c r="H30" s="1117"/>
      <c r="I30" s="1117"/>
      <c r="J30" s="1092"/>
      <c r="K30" s="1092"/>
      <c r="L30" s="252"/>
    </row>
    <row r="31" spans="1:12" ht="13.8" thickBot="1">
      <c r="A31" s="1107" t="s">
        <v>116</v>
      </c>
      <c r="B31" s="1080"/>
      <c r="C31" s="1081"/>
      <c r="D31" s="1081"/>
      <c r="E31" s="1081"/>
      <c r="F31" s="1081"/>
      <c r="G31" s="1081"/>
      <c r="H31" s="1081"/>
      <c r="I31" s="1081"/>
      <c r="J31" s="1081"/>
      <c r="K31" s="1081"/>
      <c r="L31" s="166">
        <f>SUM(L30:L30)</f>
        <v>0</v>
      </c>
    </row>
    <row r="32" spans="1:12" ht="13.8" thickBot="1">
      <c r="A32" s="1114" t="s">
        <v>117</v>
      </c>
      <c r="B32" s="948"/>
      <c r="C32" s="948"/>
      <c r="D32" s="948"/>
      <c r="E32" s="948"/>
      <c r="F32" s="948"/>
      <c r="G32" s="948"/>
      <c r="H32" s="948"/>
      <c r="I32" s="948"/>
      <c r="J32" s="948"/>
      <c r="K32" s="949"/>
      <c r="L32" s="165">
        <f>L18+L22+L27+L31</f>
        <v>49773.978914693485</v>
      </c>
    </row>
    <row r="33" spans="1:12" ht="13.8" thickBot="1">
      <c r="A33" s="958" t="s">
        <v>646</v>
      </c>
      <c r="B33" s="959"/>
      <c r="C33" s="959"/>
      <c r="D33" s="959"/>
      <c r="E33" s="959"/>
      <c r="F33" s="959"/>
      <c r="G33" s="959"/>
      <c r="H33" s="959"/>
      <c r="I33" s="959"/>
      <c r="J33" s="959"/>
      <c r="K33" s="960"/>
      <c r="L33" s="685">
        <f>TRUNC(L32*0.2332,2)</f>
        <v>11607.29</v>
      </c>
    </row>
    <row r="34" spans="1:12" ht="13.8" customHeight="1" thickBot="1">
      <c r="A34" s="966" t="s">
        <v>647</v>
      </c>
      <c r="B34" s="967"/>
      <c r="C34" s="967"/>
      <c r="D34" s="967"/>
      <c r="E34" s="967"/>
      <c r="F34" s="967"/>
      <c r="G34" s="967"/>
      <c r="H34" s="967"/>
      <c r="I34" s="967"/>
      <c r="J34" s="967"/>
      <c r="K34" s="968"/>
      <c r="L34" s="612">
        <f>L33+L32</f>
        <v>61381.268914693486</v>
      </c>
    </row>
  </sheetData>
  <mergeCells count="62">
    <mergeCell ref="A32:K32"/>
    <mergeCell ref="A34:K34"/>
    <mergeCell ref="J26:K26"/>
    <mergeCell ref="E26:I26"/>
    <mergeCell ref="E24:I24"/>
    <mergeCell ref="J24:K24"/>
    <mergeCell ref="A31:K31"/>
    <mergeCell ref="A27:K27"/>
    <mergeCell ref="A28:A29"/>
    <mergeCell ref="B28:B29"/>
    <mergeCell ref="C28:C29"/>
    <mergeCell ref="D28:D29"/>
    <mergeCell ref="G28:G29"/>
    <mergeCell ref="A33:K33"/>
    <mergeCell ref="L28:L29"/>
    <mergeCell ref="H29:I29"/>
    <mergeCell ref="J29:K29"/>
    <mergeCell ref="H30:I30"/>
    <mergeCell ref="J30:K30"/>
    <mergeCell ref="H28:K28"/>
    <mergeCell ref="A22:K22"/>
    <mergeCell ref="E23:I23"/>
    <mergeCell ref="J23:K23"/>
    <mergeCell ref="E25:I25"/>
    <mergeCell ref="J25:K25"/>
    <mergeCell ref="E19:I19"/>
    <mergeCell ref="J19:K19"/>
    <mergeCell ref="E20:I20"/>
    <mergeCell ref="J20:K20"/>
    <mergeCell ref="E21:I21"/>
    <mergeCell ref="J21:K21"/>
    <mergeCell ref="A18:K18"/>
    <mergeCell ref="E11:I11"/>
    <mergeCell ref="J11:K11"/>
    <mergeCell ref="E12:I12"/>
    <mergeCell ref="J12:K12"/>
    <mergeCell ref="E13:I13"/>
    <mergeCell ref="J13:K13"/>
    <mergeCell ref="E14:I14"/>
    <mergeCell ref="J14:K14"/>
    <mergeCell ref="A15:K15"/>
    <mergeCell ref="A16:K16"/>
    <mergeCell ref="A17:K17"/>
    <mergeCell ref="E6:G6"/>
    <mergeCell ref="E7:G7"/>
    <mergeCell ref="E8:G8"/>
    <mergeCell ref="A9:K9"/>
    <mergeCell ref="E10:I10"/>
    <mergeCell ref="J10:K10"/>
    <mergeCell ref="J4:L4"/>
    <mergeCell ref="E5:G5"/>
    <mergeCell ref="A1:L1"/>
    <mergeCell ref="A2:B2"/>
    <mergeCell ref="C2:L2"/>
    <mergeCell ref="A3:C3"/>
    <mergeCell ref="D3:I3"/>
    <mergeCell ref="J3:L3"/>
    <mergeCell ref="A4:A5"/>
    <mergeCell ref="B4:B5"/>
    <mergeCell ref="C4:C5"/>
    <mergeCell ref="D4:D5"/>
    <mergeCell ref="E4:I4"/>
  </mergeCells>
  <pageMargins left="0.511811024" right="0.511811024" top="0.78740157499999996" bottom="0.78740157499999996" header="0.31496062000000002" footer="0.31496062000000002"/>
  <pageSetup paperSize="9" scale="54" orientation="portrait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92D79-957A-49B1-8D21-F8A2E6B0B33B}">
  <dimension ref="A1:I33"/>
  <sheetViews>
    <sheetView view="pageBreakPreview" topLeftCell="A19" zoomScaleNormal="85" zoomScaleSheetLayoutView="100" workbookViewId="0">
      <selection activeCell="F41" sqref="F41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3.77734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49">
        <v>4.5969999999999997E-2</v>
      </c>
      <c r="I3" s="647" t="s">
        <v>147</v>
      </c>
    </row>
    <row r="4" spans="1:9" ht="16.2" thickBot="1">
      <c r="A4" s="650" t="s">
        <v>501</v>
      </c>
      <c r="B4" s="1147" t="s">
        <v>210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3.8">
      <c r="A7" s="655" t="s">
        <v>512</v>
      </c>
      <c r="B7" s="656" t="s">
        <v>513</v>
      </c>
      <c r="C7" s="657">
        <v>6.096E-2</v>
      </c>
      <c r="D7" s="658">
        <v>1</v>
      </c>
      <c r="E7" s="658">
        <v>0</v>
      </c>
      <c r="F7" s="659">
        <v>0.77629999999999999</v>
      </c>
      <c r="G7" s="659">
        <v>0.52780000000000005</v>
      </c>
      <c r="I7" s="659">
        <v>4.7300000000000002E-2</v>
      </c>
    </row>
    <row r="8" spans="1:9" ht="14.4" thickBot="1">
      <c r="A8" s="654"/>
      <c r="B8" s="654"/>
      <c r="C8" s="654"/>
      <c r="D8" s="654"/>
      <c r="E8" s="654"/>
      <c r="F8" s="654"/>
      <c r="G8" s="660" t="s">
        <v>514</v>
      </c>
      <c r="H8" s="654"/>
      <c r="I8" s="661">
        <v>4.7300000000000002E-2</v>
      </c>
    </row>
    <row r="9" spans="1:9" ht="14.4" thickBot="1">
      <c r="A9" s="651" t="s">
        <v>515</v>
      </c>
      <c r="B9" s="654"/>
      <c r="C9" s="652" t="s">
        <v>504</v>
      </c>
      <c r="D9" s="652" t="s">
        <v>516</v>
      </c>
      <c r="E9" s="654"/>
      <c r="F9" s="652" t="s">
        <v>96</v>
      </c>
      <c r="G9" s="1144" t="s">
        <v>517</v>
      </c>
      <c r="H9" s="1144"/>
      <c r="I9" s="1144"/>
    </row>
    <row r="10" spans="1:9" ht="27.6" customHeight="1">
      <c r="A10" s="655" t="s">
        <v>159</v>
      </c>
      <c r="B10" s="656" t="s">
        <v>158</v>
      </c>
      <c r="C10" s="657">
        <v>1.0609599999999999</v>
      </c>
      <c r="D10" s="655" t="s">
        <v>168</v>
      </c>
      <c r="F10" s="659">
        <v>18.9879</v>
      </c>
      <c r="I10" s="659">
        <v>20.145399999999999</v>
      </c>
    </row>
    <row r="11" spans="1:9" ht="13.8">
      <c r="C11" s="1130" t="s">
        <v>518</v>
      </c>
      <c r="D11" s="1130"/>
      <c r="E11" s="1130"/>
      <c r="F11" s="1130"/>
      <c r="G11" s="1130"/>
      <c r="I11" s="659">
        <v>20.145399999999999</v>
      </c>
    </row>
    <row r="12" spans="1:9" ht="14.4" thickBot="1">
      <c r="A12" s="654"/>
      <c r="B12" s="654"/>
      <c r="C12" s="1144" t="s">
        <v>519</v>
      </c>
      <c r="D12" s="1144"/>
      <c r="E12" s="1144"/>
      <c r="F12" s="1144"/>
      <c r="G12" s="1144"/>
      <c r="H12" s="654"/>
      <c r="I12" s="663">
        <v>20.192699999999999</v>
      </c>
    </row>
    <row r="13" spans="1:9" ht="13.8">
      <c r="C13" s="1130" t="s">
        <v>520</v>
      </c>
      <c r="D13" s="1130"/>
      <c r="E13" s="1130"/>
      <c r="F13" s="1130"/>
      <c r="G13" s="1130"/>
      <c r="I13" s="664">
        <v>439.25819999999999</v>
      </c>
    </row>
    <row r="14" spans="1:9" ht="13.8">
      <c r="G14" s="662" t="s">
        <v>521</v>
      </c>
      <c r="I14" s="665" t="s">
        <v>522</v>
      </c>
    </row>
    <row r="15" spans="1:9" ht="14.4" thickBot="1">
      <c r="A15" s="654"/>
      <c r="B15" s="654"/>
      <c r="C15" s="654"/>
      <c r="D15" s="654"/>
      <c r="E15" s="654"/>
      <c r="F15" s="654"/>
      <c r="G15" s="660" t="s">
        <v>523</v>
      </c>
      <c r="H15" s="654"/>
      <c r="I15" s="663" t="s">
        <v>522</v>
      </c>
    </row>
    <row r="16" spans="1:9" ht="14.4" thickBot="1">
      <c r="A16" s="651" t="s">
        <v>524</v>
      </c>
      <c r="B16" s="654"/>
      <c r="C16" s="652" t="s">
        <v>504</v>
      </c>
      <c r="D16" s="652" t="s">
        <v>516</v>
      </c>
      <c r="E16" s="654"/>
      <c r="F16" s="652" t="s">
        <v>525</v>
      </c>
      <c r="G16" s="1144" t="s">
        <v>25</v>
      </c>
      <c r="H16" s="1144"/>
      <c r="I16" s="1144"/>
    </row>
    <row r="17" spans="1:9" ht="14.4" thickBot="1">
      <c r="A17" s="654"/>
      <c r="B17" s="654"/>
      <c r="C17" s="1144" t="s">
        <v>526</v>
      </c>
      <c r="D17" s="1144"/>
      <c r="E17" s="1144"/>
      <c r="F17" s="1144"/>
      <c r="G17" s="1144"/>
      <c r="H17" s="654"/>
      <c r="I17" s="661"/>
    </row>
    <row r="18" spans="1:9" ht="14.4" thickBot="1">
      <c r="A18" s="651" t="s">
        <v>527</v>
      </c>
      <c r="B18" s="654"/>
      <c r="C18" s="652" t="s">
        <v>504</v>
      </c>
      <c r="D18" s="652" t="s">
        <v>516</v>
      </c>
      <c r="E18" s="654"/>
      <c r="F18" s="652" t="s">
        <v>25</v>
      </c>
      <c r="G18" s="1144" t="s">
        <v>25</v>
      </c>
      <c r="H18" s="1144"/>
      <c r="I18" s="1144"/>
    </row>
    <row r="19" spans="1:9" ht="14.4" thickBot="1">
      <c r="A19" s="654"/>
      <c r="B19" s="654"/>
      <c r="C19" s="1144" t="s">
        <v>528</v>
      </c>
      <c r="D19" s="1144"/>
      <c r="E19" s="1144"/>
      <c r="F19" s="1144"/>
      <c r="G19" s="1144"/>
      <c r="H19" s="654"/>
      <c r="I19" s="661"/>
    </row>
    <row r="20" spans="1:9" ht="14.4" thickBot="1">
      <c r="A20" s="654"/>
      <c r="B20" s="654"/>
      <c r="C20" s="654"/>
      <c r="D20" s="654"/>
      <c r="E20" s="654"/>
      <c r="F20" s="654"/>
      <c r="G20" s="660" t="s">
        <v>529</v>
      </c>
      <c r="H20" s="654"/>
      <c r="I20" s="663">
        <v>439.25819999999999</v>
      </c>
    </row>
    <row r="21" spans="1:9" ht="14.4" thickBot="1">
      <c r="A21" s="651" t="s">
        <v>530</v>
      </c>
      <c r="B21" s="654"/>
      <c r="C21" s="652" t="s">
        <v>531</v>
      </c>
      <c r="D21" s="652" t="s">
        <v>504</v>
      </c>
      <c r="E21" s="652" t="s">
        <v>516</v>
      </c>
      <c r="F21" s="654"/>
      <c r="G21" s="652" t="s">
        <v>25</v>
      </c>
      <c r="H21" s="1144" t="s">
        <v>25</v>
      </c>
      <c r="I21" s="1144"/>
    </row>
    <row r="22" spans="1:9" ht="13.8">
      <c r="A22" s="655" t="s">
        <v>532</v>
      </c>
      <c r="B22" s="656" t="s">
        <v>533</v>
      </c>
      <c r="C22" s="655" t="s">
        <v>534</v>
      </c>
      <c r="D22" s="657">
        <v>2.5</v>
      </c>
      <c r="E22" s="655" t="s">
        <v>360</v>
      </c>
      <c r="G22" s="659">
        <v>33.380000000000003</v>
      </c>
      <c r="I22" s="659">
        <v>83.45</v>
      </c>
    </row>
    <row r="23" spans="1:9" ht="14.4" thickBot="1">
      <c r="A23" s="654"/>
      <c r="B23" s="654"/>
      <c r="C23" s="1144" t="s">
        <v>535</v>
      </c>
      <c r="D23" s="1144"/>
      <c r="E23" s="1144"/>
      <c r="F23" s="1144"/>
      <c r="G23" s="1144"/>
      <c r="H23" s="654"/>
      <c r="I23" s="663">
        <v>83.45</v>
      </c>
    </row>
    <row r="24" spans="1:9" ht="14.4" thickBot="1">
      <c r="A24" s="1145" t="s">
        <v>536</v>
      </c>
      <c r="B24" s="1145"/>
      <c r="C24" s="1146" t="s">
        <v>504</v>
      </c>
      <c r="D24" s="1146" t="s">
        <v>516</v>
      </c>
      <c r="E24" s="1146" t="s">
        <v>537</v>
      </c>
      <c r="F24" s="1146"/>
      <c r="G24" s="1146"/>
      <c r="I24" s="1144" t="s">
        <v>25</v>
      </c>
    </row>
    <row r="25" spans="1:9" ht="14.4" thickBot="1">
      <c r="A25" s="1145"/>
      <c r="B25" s="1145"/>
      <c r="C25" s="1146"/>
      <c r="D25" s="1146"/>
      <c r="E25" s="652" t="s">
        <v>538</v>
      </c>
      <c r="F25" s="652" t="s">
        <v>539</v>
      </c>
      <c r="G25" s="652" t="s">
        <v>540</v>
      </c>
      <c r="H25" s="654"/>
      <c r="I25" s="1144"/>
    </row>
    <row r="26" spans="1:9" ht="13.8">
      <c r="A26" s="1132" t="s">
        <v>532</v>
      </c>
      <c r="B26" s="1135" t="s">
        <v>533</v>
      </c>
      <c r="C26" s="1138">
        <v>2.5</v>
      </c>
      <c r="D26" s="1141" t="s">
        <v>541</v>
      </c>
      <c r="E26" s="670">
        <v>5914314</v>
      </c>
      <c r="F26" s="670" t="s">
        <v>542</v>
      </c>
      <c r="G26" s="670" t="s">
        <v>543</v>
      </c>
      <c r="H26" s="670" t="s">
        <v>612</v>
      </c>
      <c r="I26" s="1128">
        <f>TRUNC(SUMPRODUCT(E27:G27,E28:G28)*C26,4)</f>
        <v>79.532499999999999</v>
      </c>
    </row>
    <row r="27" spans="1:9" ht="13.8">
      <c r="A27" s="1133"/>
      <c r="B27" s="1136"/>
      <c r="C27" s="1139"/>
      <c r="D27" s="1142"/>
      <c r="E27" s="671">
        <v>1.27</v>
      </c>
      <c r="F27" s="671">
        <v>1.02</v>
      </c>
      <c r="G27" s="671">
        <v>0.83</v>
      </c>
      <c r="H27" s="671" t="s">
        <v>613</v>
      </c>
      <c r="I27" s="1129"/>
    </row>
    <row r="28" spans="1:9" ht="13.8">
      <c r="A28" s="1134"/>
      <c r="B28" s="1137"/>
      <c r="C28" s="1140"/>
      <c r="D28" s="1143"/>
      <c r="E28" s="672"/>
      <c r="F28" s="683">
        <f>DMT!E16</f>
        <v>1</v>
      </c>
      <c r="G28" s="683">
        <f>DMT!D16</f>
        <v>37.1</v>
      </c>
      <c r="H28" s="672" t="s">
        <v>537</v>
      </c>
      <c r="I28" s="1129"/>
    </row>
    <row r="29" spans="1:9" ht="13.8">
      <c r="C29" s="1130" t="s">
        <v>544</v>
      </c>
      <c r="D29" s="1130"/>
      <c r="E29" s="1130"/>
      <c r="F29" s="1130"/>
      <c r="G29" s="1130"/>
      <c r="I29" s="673">
        <f>I26</f>
        <v>79.532499999999999</v>
      </c>
    </row>
    <row r="30" spans="1:9" ht="13.8">
      <c r="C30" s="662"/>
      <c r="D30" s="662"/>
      <c r="E30" s="1130" t="s">
        <v>545</v>
      </c>
      <c r="F30" s="1130"/>
      <c r="G30" s="1130"/>
      <c r="I30" s="669">
        <f>TRUNC(SUM(I20,I23,I29),2)</f>
        <v>602.24</v>
      </c>
    </row>
    <row r="31" spans="1:9" ht="13.8">
      <c r="C31" s="662"/>
      <c r="D31" s="662"/>
      <c r="E31" s="1130" t="s">
        <v>610</v>
      </c>
      <c r="F31" s="1130"/>
      <c r="G31" s="1130"/>
      <c r="I31" s="669">
        <f>TRUNC(I30*0.2332,2)</f>
        <v>140.44</v>
      </c>
    </row>
    <row r="32" spans="1:9" ht="14.4" thickBot="1">
      <c r="A32" s="644"/>
      <c r="B32" s="644"/>
      <c r="C32" s="644"/>
      <c r="D32" s="644"/>
      <c r="E32" s="1131" t="s">
        <v>611</v>
      </c>
      <c r="F32" s="1131"/>
      <c r="G32" s="1131"/>
      <c r="H32" s="644"/>
      <c r="I32" s="666">
        <f>I30+I31</f>
        <v>742.68000000000006</v>
      </c>
    </row>
    <row r="33" ht="13.8" thickTop="1"/>
  </sheetData>
  <mergeCells count="30">
    <mergeCell ref="C17:G17"/>
    <mergeCell ref="B4:G4"/>
    <mergeCell ref="H4:I4"/>
    <mergeCell ref="A5:B6"/>
    <mergeCell ref="C5:C6"/>
    <mergeCell ref="D5:E5"/>
    <mergeCell ref="F5:G5"/>
    <mergeCell ref="G9:I9"/>
    <mergeCell ref="C11:G11"/>
    <mergeCell ref="C12:G12"/>
    <mergeCell ref="C13:G13"/>
    <mergeCell ref="G16:I16"/>
    <mergeCell ref="A26:A28"/>
    <mergeCell ref="B26:B28"/>
    <mergeCell ref="C26:C28"/>
    <mergeCell ref="D26:D28"/>
    <mergeCell ref="G18:I18"/>
    <mergeCell ref="C19:G19"/>
    <mergeCell ref="H21:I21"/>
    <mergeCell ref="C23:G23"/>
    <mergeCell ref="A24:B25"/>
    <mergeCell ref="C24:C25"/>
    <mergeCell ref="D24:D25"/>
    <mergeCell ref="E24:G24"/>
    <mergeCell ref="I24:I25"/>
    <mergeCell ref="I26:I28"/>
    <mergeCell ref="C29:G29"/>
    <mergeCell ref="E32:G32"/>
    <mergeCell ref="E30:G30"/>
    <mergeCell ref="E31:G31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0A54-B9E2-492B-A2EB-5B5C1EBD1F99}">
  <dimension ref="A1:I32"/>
  <sheetViews>
    <sheetView view="pageBreakPreview" zoomScale="85" zoomScaleNormal="85" zoomScaleSheetLayoutView="85" workbookViewId="0">
      <selection activeCell="H27" sqref="H27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5.109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49">
        <v>1</v>
      </c>
      <c r="I3" s="647" t="s">
        <v>147</v>
      </c>
    </row>
    <row r="4" spans="1:9" ht="16.2" thickBot="1">
      <c r="A4" s="650" t="s">
        <v>546</v>
      </c>
      <c r="B4" s="1147" t="s">
        <v>338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4.4" thickBot="1">
      <c r="A7" s="654"/>
      <c r="B7" s="654"/>
      <c r="C7" s="654"/>
      <c r="D7" s="654"/>
      <c r="E7" s="654"/>
      <c r="F7" s="654"/>
      <c r="G7" s="660" t="s">
        <v>514</v>
      </c>
      <c r="H7" s="654"/>
      <c r="I7" s="661"/>
    </row>
    <row r="8" spans="1:9" ht="14.4" thickBot="1">
      <c r="A8" s="651" t="s">
        <v>515</v>
      </c>
      <c r="B8" s="654"/>
      <c r="C8" s="652" t="s">
        <v>504</v>
      </c>
      <c r="D8" s="652" t="s">
        <v>516</v>
      </c>
      <c r="E8" s="654"/>
      <c r="F8" s="652" t="s">
        <v>96</v>
      </c>
      <c r="G8" s="1144" t="s">
        <v>517</v>
      </c>
      <c r="H8" s="1144"/>
      <c r="I8" s="1144"/>
    </row>
    <row r="9" spans="1:9" ht="13.8">
      <c r="A9" s="655" t="s">
        <v>159</v>
      </c>
      <c r="B9" s="656" t="s">
        <v>158</v>
      </c>
      <c r="C9" s="657">
        <v>10</v>
      </c>
      <c r="D9" s="655" t="s">
        <v>168</v>
      </c>
      <c r="F9" s="659">
        <v>18.9879</v>
      </c>
      <c r="I9" s="659">
        <v>189.87899999999999</v>
      </c>
    </row>
    <row r="10" spans="1:9" ht="13.8">
      <c r="C10" s="1130" t="s">
        <v>518</v>
      </c>
      <c r="D10" s="1130"/>
      <c r="E10" s="1130"/>
      <c r="F10" s="1130"/>
      <c r="G10" s="1130"/>
      <c r="I10" s="659">
        <v>189.87899999999999</v>
      </c>
    </row>
    <row r="11" spans="1:9" ht="14.4" thickBot="1">
      <c r="A11" s="654"/>
      <c r="B11" s="654"/>
      <c r="C11" s="1144" t="s">
        <v>519</v>
      </c>
      <c r="D11" s="1144"/>
      <c r="E11" s="1144"/>
      <c r="F11" s="1144"/>
      <c r="G11" s="1144"/>
      <c r="H11" s="654"/>
      <c r="I11" s="663">
        <v>189.87899999999999</v>
      </c>
    </row>
    <row r="12" spans="1:9" ht="13.8">
      <c r="C12" s="1130" t="s">
        <v>520</v>
      </c>
      <c r="D12" s="1130"/>
      <c r="E12" s="1130"/>
      <c r="F12" s="1130"/>
      <c r="G12" s="1130"/>
      <c r="I12" s="664">
        <v>189.87899999999999</v>
      </c>
    </row>
    <row r="13" spans="1:9" ht="13.8">
      <c r="G13" s="662" t="s">
        <v>521</v>
      </c>
      <c r="I13" s="665" t="s">
        <v>522</v>
      </c>
    </row>
    <row r="14" spans="1:9" ht="14.4" thickBot="1">
      <c r="A14" s="654"/>
      <c r="B14" s="654"/>
      <c r="C14" s="654"/>
      <c r="D14" s="654"/>
      <c r="E14" s="654"/>
      <c r="F14" s="654"/>
      <c r="G14" s="660" t="s">
        <v>523</v>
      </c>
      <c r="H14" s="654"/>
      <c r="I14" s="663" t="s">
        <v>522</v>
      </c>
    </row>
    <row r="15" spans="1:9" ht="14.4" thickBot="1">
      <c r="A15" s="651" t="s">
        <v>524</v>
      </c>
      <c r="B15" s="654"/>
      <c r="C15" s="652" t="s">
        <v>504</v>
      </c>
      <c r="D15" s="652" t="s">
        <v>516</v>
      </c>
      <c r="E15" s="654"/>
      <c r="F15" s="652" t="s">
        <v>525</v>
      </c>
      <c r="G15" s="1144" t="s">
        <v>25</v>
      </c>
      <c r="H15" s="1144"/>
      <c r="I15" s="1144"/>
    </row>
    <row r="16" spans="1:9" ht="14.4" thickBot="1">
      <c r="A16" s="654"/>
      <c r="B16" s="654"/>
      <c r="C16" s="1144" t="s">
        <v>526</v>
      </c>
      <c r="D16" s="1144"/>
      <c r="E16" s="1144"/>
      <c r="F16" s="1144"/>
      <c r="G16" s="1144"/>
      <c r="H16" s="654"/>
      <c r="I16" s="661"/>
    </row>
    <row r="17" spans="1:9" ht="14.4" thickBot="1">
      <c r="A17" s="651" t="s">
        <v>527</v>
      </c>
      <c r="B17" s="654"/>
      <c r="C17" s="652" t="s">
        <v>504</v>
      </c>
      <c r="D17" s="652" t="s">
        <v>516</v>
      </c>
      <c r="E17" s="654"/>
      <c r="F17" s="652" t="s">
        <v>25</v>
      </c>
      <c r="G17" s="1144" t="s">
        <v>25</v>
      </c>
      <c r="H17" s="1144"/>
      <c r="I17" s="1144"/>
    </row>
    <row r="18" spans="1:9" ht="14.4" thickBot="1">
      <c r="A18" s="654"/>
      <c r="B18" s="654"/>
      <c r="C18" s="1144" t="s">
        <v>528</v>
      </c>
      <c r="D18" s="1144"/>
      <c r="E18" s="1144"/>
      <c r="F18" s="1144"/>
      <c r="G18" s="1144"/>
      <c r="H18" s="654"/>
      <c r="I18" s="661"/>
    </row>
    <row r="19" spans="1:9" ht="14.4" thickBot="1">
      <c r="A19" s="654"/>
      <c r="B19" s="654"/>
      <c r="C19" s="654"/>
      <c r="D19" s="654"/>
      <c r="E19" s="654"/>
      <c r="F19" s="654"/>
      <c r="G19" s="660" t="s">
        <v>529</v>
      </c>
      <c r="H19" s="654"/>
      <c r="I19" s="663">
        <v>189.87899999999999</v>
      </c>
    </row>
    <row r="20" spans="1:9" ht="14.4" thickBot="1">
      <c r="A20" s="651" t="s">
        <v>530</v>
      </c>
      <c r="B20" s="654"/>
      <c r="C20" s="652" t="s">
        <v>531</v>
      </c>
      <c r="D20" s="652" t="s">
        <v>504</v>
      </c>
      <c r="E20" s="652" t="s">
        <v>516</v>
      </c>
      <c r="F20" s="654"/>
      <c r="G20" s="652" t="s">
        <v>25</v>
      </c>
      <c r="H20" s="1144" t="s">
        <v>25</v>
      </c>
      <c r="I20" s="1144"/>
    </row>
    <row r="21" spans="1:9" ht="13.8">
      <c r="A21" s="655" t="s">
        <v>547</v>
      </c>
      <c r="B21" s="656" t="s">
        <v>548</v>
      </c>
      <c r="C21" s="655" t="s">
        <v>534</v>
      </c>
      <c r="D21" s="657">
        <v>2.4</v>
      </c>
      <c r="E21" s="655" t="s">
        <v>360</v>
      </c>
      <c r="G21" s="659">
        <v>33.380000000000003</v>
      </c>
      <c r="I21" s="659">
        <v>80.111999999999995</v>
      </c>
    </row>
    <row r="22" spans="1:9" ht="14.4" thickBot="1">
      <c r="A22" s="654"/>
      <c r="B22" s="654"/>
      <c r="C22" s="1144" t="s">
        <v>535</v>
      </c>
      <c r="D22" s="1144"/>
      <c r="E22" s="1144"/>
      <c r="F22" s="1144"/>
      <c r="G22" s="1144"/>
      <c r="H22" s="654"/>
      <c r="I22" s="663">
        <v>80.111999999999995</v>
      </c>
    </row>
    <row r="23" spans="1:9" ht="14.4" thickBot="1">
      <c r="A23" s="1145" t="s">
        <v>536</v>
      </c>
      <c r="B23" s="1145"/>
      <c r="C23" s="1146" t="s">
        <v>504</v>
      </c>
      <c r="D23" s="1146" t="s">
        <v>516</v>
      </c>
      <c r="E23" s="1146" t="s">
        <v>537</v>
      </c>
      <c r="F23" s="1146"/>
      <c r="G23" s="1146"/>
      <c r="I23" s="1144" t="s">
        <v>25</v>
      </c>
    </row>
    <row r="24" spans="1:9" ht="14.4" thickBot="1">
      <c r="A24" s="1145"/>
      <c r="B24" s="1145"/>
      <c r="C24" s="1146"/>
      <c r="D24" s="1146"/>
      <c r="E24" s="652" t="s">
        <v>538</v>
      </c>
      <c r="F24" s="652" t="s">
        <v>539</v>
      </c>
      <c r="G24" s="652" t="s">
        <v>540</v>
      </c>
      <c r="H24" s="654"/>
      <c r="I24" s="1144"/>
    </row>
    <row r="25" spans="1:9" ht="13.8">
      <c r="A25" s="1149" t="s">
        <v>547</v>
      </c>
      <c r="B25" s="1151" t="s">
        <v>548</v>
      </c>
      <c r="C25" s="1153">
        <v>2.4</v>
      </c>
      <c r="D25" s="1141" t="s">
        <v>541</v>
      </c>
      <c r="E25" s="670">
        <v>5914314</v>
      </c>
      <c r="F25" s="670" t="s">
        <v>542</v>
      </c>
      <c r="G25" s="670" t="s">
        <v>543</v>
      </c>
      <c r="H25" s="670" t="s">
        <v>612</v>
      </c>
      <c r="I25" s="1128">
        <f>TRUNC(SUMPRODUCT(E26:G26,E27:G27)*C25,4)</f>
        <v>76.351200000000006</v>
      </c>
    </row>
    <row r="26" spans="1:9" ht="13.8">
      <c r="A26" s="1150"/>
      <c r="B26" s="1152"/>
      <c r="C26" s="1154"/>
      <c r="D26" s="1142"/>
      <c r="E26" s="671">
        <v>1.27</v>
      </c>
      <c r="F26" s="671">
        <v>1.02</v>
      </c>
      <c r="G26" s="671">
        <v>0.83</v>
      </c>
      <c r="H26" s="671" t="s">
        <v>613</v>
      </c>
      <c r="I26" s="1129"/>
    </row>
    <row r="27" spans="1:9" ht="13.8">
      <c r="A27" s="1150"/>
      <c r="B27" s="1152"/>
      <c r="C27" s="1154"/>
      <c r="D27" s="1143"/>
      <c r="E27" s="672"/>
      <c r="F27" s="683">
        <f>DMT!E16</f>
        <v>1</v>
      </c>
      <c r="G27" s="683">
        <f>DMT!D16</f>
        <v>37.1</v>
      </c>
      <c r="H27" s="672" t="s">
        <v>537</v>
      </c>
      <c r="I27" s="1129"/>
    </row>
    <row r="28" spans="1:9" ht="13.8">
      <c r="C28" s="1130" t="s">
        <v>544</v>
      </c>
      <c r="D28" s="1130"/>
      <c r="E28" s="1130"/>
      <c r="F28" s="1130"/>
      <c r="G28" s="1130"/>
      <c r="I28" s="673">
        <f>I25</f>
        <v>76.351200000000006</v>
      </c>
    </row>
    <row r="29" spans="1:9" ht="13.8">
      <c r="C29" s="662"/>
      <c r="D29" s="662"/>
      <c r="E29" s="1130" t="s">
        <v>545</v>
      </c>
      <c r="F29" s="1130"/>
      <c r="G29" s="1130"/>
      <c r="I29" s="669">
        <f>TRUNC(SUM(I19,I22,I28),2)</f>
        <v>346.34</v>
      </c>
    </row>
    <row r="30" spans="1:9" ht="13.8">
      <c r="C30" s="662"/>
      <c r="D30" s="662"/>
      <c r="E30" s="1130" t="s">
        <v>610</v>
      </c>
      <c r="F30" s="1130"/>
      <c r="G30" s="1130"/>
      <c r="I30" s="669">
        <f>TRUNC(I29*0.2332,2)</f>
        <v>80.760000000000005</v>
      </c>
    </row>
    <row r="31" spans="1:9" ht="14.4" thickBot="1">
      <c r="A31" s="644"/>
      <c r="B31" s="644"/>
      <c r="C31" s="644"/>
      <c r="D31" s="644"/>
      <c r="E31" s="1131" t="s">
        <v>611</v>
      </c>
      <c r="F31" s="1131"/>
      <c r="G31" s="1131"/>
      <c r="H31" s="644"/>
      <c r="I31" s="666">
        <f>I29+I30</f>
        <v>427.09999999999997</v>
      </c>
    </row>
    <row r="32" spans="1:9" ht="13.8" thickTop="1"/>
  </sheetData>
  <mergeCells count="30">
    <mergeCell ref="C16:G16"/>
    <mergeCell ref="B4:G4"/>
    <mergeCell ref="H4:I4"/>
    <mergeCell ref="A5:B6"/>
    <mergeCell ref="C5:C6"/>
    <mergeCell ref="D5:E5"/>
    <mergeCell ref="F5:G5"/>
    <mergeCell ref="G8:I8"/>
    <mergeCell ref="C10:G10"/>
    <mergeCell ref="C11:G11"/>
    <mergeCell ref="C12:G12"/>
    <mergeCell ref="G15:I15"/>
    <mergeCell ref="I25:I27"/>
    <mergeCell ref="A25:A27"/>
    <mergeCell ref="B25:B27"/>
    <mergeCell ref="C25:C27"/>
    <mergeCell ref="G17:I17"/>
    <mergeCell ref="C18:G18"/>
    <mergeCell ref="H20:I20"/>
    <mergeCell ref="C22:G22"/>
    <mergeCell ref="A23:B24"/>
    <mergeCell ref="C23:C24"/>
    <mergeCell ref="D23:D24"/>
    <mergeCell ref="E23:G23"/>
    <mergeCell ref="I23:I24"/>
    <mergeCell ref="E30:G30"/>
    <mergeCell ref="E31:G31"/>
    <mergeCell ref="C28:G28"/>
    <mergeCell ref="E29:G29"/>
    <mergeCell ref="D25:D27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B3763-80DB-4A2B-8567-9FD92EC72F92}">
  <dimension ref="A1:I36"/>
  <sheetViews>
    <sheetView view="pageBreakPreview" topLeftCell="A7" zoomScale="85" zoomScaleNormal="85" zoomScaleSheetLayoutView="85" workbookViewId="0">
      <selection activeCell="F31" sqref="F31:G31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5.109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49">
        <v>0.55250999999999995</v>
      </c>
      <c r="I3" s="647" t="s">
        <v>6</v>
      </c>
    </row>
    <row r="4" spans="1:9" ht="16.2" thickBot="1">
      <c r="A4" s="650" t="s">
        <v>549</v>
      </c>
      <c r="B4" s="1147" t="s">
        <v>225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3.8">
      <c r="A7" s="655" t="s">
        <v>550</v>
      </c>
      <c r="B7" s="656" t="s">
        <v>551</v>
      </c>
      <c r="C7" s="657">
        <v>1</v>
      </c>
      <c r="D7" s="658">
        <v>1</v>
      </c>
      <c r="E7" s="658">
        <v>0</v>
      </c>
      <c r="F7" s="659">
        <v>1.0443</v>
      </c>
      <c r="G7" s="659">
        <v>0.57630000000000003</v>
      </c>
      <c r="I7" s="659">
        <v>1.0443</v>
      </c>
    </row>
    <row r="8" spans="1:9" ht="14.4" thickBot="1">
      <c r="A8" s="654"/>
      <c r="B8" s="654"/>
      <c r="C8" s="654"/>
      <c r="D8" s="654"/>
      <c r="E8" s="654"/>
      <c r="F8" s="654"/>
      <c r="G8" s="660" t="s">
        <v>514</v>
      </c>
      <c r="H8" s="654"/>
      <c r="I8" s="661">
        <v>1.0443</v>
      </c>
    </row>
    <row r="9" spans="1:9" ht="14.4" thickBot="1">
      <c r="A9" s="651" t="s">
        <v>515</v>
      </c>
      <c r="B9" s="654"/>
      <c r="C9" s="652" t="s">
        <v>504</v>
      </c>
      <c r="D9" s="652" t="s">
        <v>516</v>
      </c>
      <c r="E9" s="654"/>
      <c r="F9" s="652" t="s">
        <v>96</v>
      </c>
      <c r="G9" s="1144" t="s">
        <v>517</v>
      </c>
      <c r="H9" s="1144"/>
      <c r="I9" s="1144"/>
    </row>
    <row r="10" spans="1:9" ht="13.8">
      <c r="A10" s="655" t="s">
        <v>552</v>
      </c>
      <c r="B10" s="656" t="s">
        <v>365</v>
      </c>
      <c r="C10" s="657">
        <v>1</v>
      </c>
      <c r="D10" s="655" t="s">
        <v>168</v>
      </c>
      <c r="F10" s="659">
        <v>39.250399999999999</v>
      </c>
      <c r="I10" s="659">
        <v>39.250399999999999</v>
      </c>
    </row>
    <row r="11" spans="1:9" ht="13.8">
      <c r="C11" s="1130" t="s">
        <v>518</v>
      </c>
      <c r="D11" s="1130"/>
      <c r="E11" s="1130"/>
      <c r="F11" s="1130"/>
      <c r="G11" s="1130"/>
      <c r="I11" s="659">
        <v>39.250399999999999</v>
      </c>
    </row>
    <row r="12" spans="1:9" ht="14.4" thickBot="1">
      <c r="A12" s="654"/>
      <c r="B12" s="654"/>
      <c r="C12" s="1144" t="s">
        <v>519</v>
      </c>
      <c r="D12" s="1144"/>
      <c r="E12" s="1144"/>
      <c r="F12" s="1144"/>
      <c r="G12" s="1144"/>
      <c r="H12" s="654"/>
      <c r="I12" s="663">
        <v>40.294699999999999</v>
      </c>
    </row>
    <row r="13" spans="1:9" ht="13.8">
      <c r="C13" s="1130" t="s">
        <v>520</v>
      </c>
      <c r="D13" s="1130"/>
      <c r="E13" s="1130"/>
      <c r="F13" s="1130"/>
      <c r="G13" s="1130"/>
      <c r="I13" s="664">
        <v>72.930300000000003</v>
      </c>
    </row>
    <row r="14" spans="1:9" ht="13.8">
      <c r="G14" s="662" t="s">
        <v>521</v>
      </c>
      <c r="I14" s="665" t="s">
        <v>522</v>
      </c>
    </row>
    <row r="15" spans="1:9" ht="14.4" thickBot="1">
      <c r="A15" s="654"/>
      <c r="B15" s="654"/>
      <c r="C15" s="654"/>
      <c r="D15" s="654"/>
      <c r="E15" s="654"/>
      <c r="F15" s="654"/>
      <c r="G15" s="660" t="s">
        <v>523</v>
      </c>
      <c r="H15" s="654"/>
      <c r="I15" s="663" t="s">
        <v>522</v>
      </c>
    </row>
    <row r="16" spans="1:9" ht="14.4" thickBot="1">
      <c r="A16" s="651" t="s">
        <v>524</v>
      </c>
      <c r="B16" s="654"/>
      <c r="C16" s="652" t="s">
        <v>504</v>
      </c>
      <c r="D16" s="652" t="s">
        <v>516</v>
      </c>
      <c r="E16" s="654"/>
      <c r="F16" s="652" t="s">
        <v>525</v>
      </c>
      <c r="G16" s="1144" t="s">
        <v>25</v>
      </c>
      <c r="H16" s="1144"/>
      <c r="I16" s="1144"/>
    </row>
    <row r="17" spans="1:9" ht="13.8">
      <c r="A17" s="655" t="s">
        <v>553</v>
      </c>
      <c r="B17" s="656" t="s">
        <v>554</v>
      </c>
      <c r="C17" s="657">
        <v>1.63384</v>
      </c>
      <c r="D17" s="655" t="s">
        <v>33</v>
      </c>
      <c r="F17" s="659">
        <v>43.129300000000001</v>
      </c>
      <c r="I17" s="659">
        <v>70.466399999999993</v>
      </c>
    </row>
    <row r="18" spans="1:9" ht="13.8">
      <c r="A18" s="655" t="s">
        <v>555</v>
      </c>
      <c r="B18" s="656" t="s">
        <v>556</v>
      </c>
      <c r="C18" s="657">
        <v>1.6516500000000001</v>
      </c>
      <c r="D18" s="655" t="s">
        <v>147</v>
      </c>
      <c r="F18" s="659">
        <v>9.5</v>
      </c>
      <c r="I18" s="659">
        <v>15.6907</v>
      </c>
    </row>
    <row r="19" spans="1:9" ht="13.8">
      <c r="A19" s="655" t="s">
        <v>557</v>
      </c>
      <c r="B19" s="656" t="s">
        <v>558</v>
      </c>
      <c r="C19" s="657">
        <v>0.85580000000000001</v>
      </c>
      <c r="D19" s="655" t="s">
        <v>33</v>
      </c>
      <c r="F19" s="659">
        <v>34.156300000000002</v>
      </c>
      <c r="I19" s="659">
        <v>29.231000000000002</v>
      </c>
    </row>
    <row r="20" spans="1:9" ht="14.4" thickBot="1">
      <c r="A20" s="654"/>
      <c r="B20" s="654"/>
      <c r="C20" s="1144" t="s">
        <v>526</v>
      </c>
      <c r="D20" s="1144"/>
      <c r="E20" s="1144"/>
      <c r="F20" s="1144"/>
      <c r="G20" s="1144"/>
      <c r="H20" s="654"/>
      <c r="I20" s="661">
        <v>115.38809999999999</v>
      </c>
    </row>
    <row r="21" spans="1:9" ht="14.4" thickBot="1">
      <c r="A21" s="651" t="s">
        <v>527</v>
      </c>
      <c r="B21" s="654"/>
      <c r="C21" s="652" t="s">
        <v>504</v>
      </c>
      <c r="D21" s="652" t="s">
        <v>516</v>
      </c>
      <c r="E21" s="654"/>
      <c r="F21" s="652" t="s">
        <v>25</v>
      </c>
      <c r="G21" s="1144" t="s">
        <v>25</v>
      </c>
      <c r="H21" s="1144"/>
      <c r="I21" s="1144"/>
    </row>
    <row r="22" spans="1:9" ht="14.4" thickBot="1">
      <c r="A22" s="654"/>
      <c r="B22" s="654"/>
      <c r="C22" s="1144" t="s">
        <v>528</v>
      </c>
      <c r="D22" s="1144"/>
      <c r="E22" s="1144"/>
      <c r="F22" s="1144"/>
      <c r="G22" s="1144"/>
      <c r="H22" s="654"/>
      <c r="I22" s="661"/>
    </row>
    <row r="23" spans="1:9" ht="14.4" thickBot="1">
      <c r="A23" s="654"/>
      <c r="B23" s="654"/>
      <c r="C23" s="654"/>
      <c r="D23" s="654"/>
      <c r="E23" s="654"/>
      <c r="F23" s="654"/>
      <c r="G23" s="660" t="s">
        <v>529</v>
      </c>
      <c r="H23" s="654"/>
      <c r="I23" s="663">
        <v>188.3184</v>
      </c>
    </row>
    <row r="24" spans="1:9" ht="14.4" thickBot="1">
      <c r="A24" s="651" t="s">
        <v>530</v>
      </c>
      <c r="B24" s="654"/>
      <c r="C24" s="652" t="s">
        <v>531</v>
      </c>
      <c r="D24" s="652" t="s">
        <v>504</v>
      </c>
      <c r="E24" s="652" t="s">
        <v>516</v>
      </c>
      <c r="F24" s="654"/>
      <c r="G24" s="652" t="s">
        <v>25</v>
      </c>
      <c r="H24" s="1144" t="s">
        <v>25</v>
      </c>
      <c r="I24" s="1144"/>
    </row>
    <row r="25" spans="1:9" ht="27.6">
      <c r="A25" s="655" t="s">
        <v>557</v>
      </c>
      <c r="B25" s="656" t="s">
        <v>559</v>
      </c>
      <c r="C25" s="655" t="s">
        <v>560</v>
      </c>
      <c r="D25" s="657">
        <v>8.5999999999999998E-4</v>
      </c>
      <c r="E25" s="655" t="s">
        <v>360</v>
      </c>
      <c r="G25" s="659">
        <v>32.5</v>
      </c>
      <c r="I25" s="659">
        <v>2.8000000000000001E-2</v>
      </c>
    </row>
    <row r="26" spans="1:9" ht="14.4" thickBot="1">
      <c r="A26" s="654"/>
      <c r="B26" s="654"/>
      <c r="C26" s="1144" t="s">
        <v>535</v>
      </c>
      <c r="D26" s="1144"/>
      <c r="E26" s="1144"/>
      <c r="F26" s="1144"/>
      <c r="G26" s="1144"/>
      <c r="H26" s="654"/>
      <c r="I26" s="663">
        <v>2.8000000000000001E-2</v>
      </c>
    </row>
    <row r="27" spans="1:9" ht="14.4" thickBot="1">
      <c r="A27" s="1145" t="s">
        <v>536</v>
      </c>
      <c r="B27" s="1145"/>
      <c r="C27" s="1146" t="s">
        <v>504</v>
      </c>
      <c r="D27" s="1146" t="s">
        <v>516</v>
      </c>
      <c r="E27" s="1146" t="s">
        <v>537</v>
      </c>
      <c r="F27" s="1146"/>
      <c r="G27" s="1146"/>
      <c r="I27" s="1144" t="s">
        <v>25</v>
      </c>
    </row>
    <row r="28" spans="1:9" ht="14.4" thickBot="1">
      <c r="A28" s="1145"/>
      <c r="B28" s="1145"/>
      <c r="C28" s="1146"/>
      <c r="D28" s="1146"/>
      <c r="E28" s="652" t="s">
        <v>538</v>
      </c>
      <c r="F28" s="652" t="s">
        <v>539</v>
      </c>
      <c r="G28" s="652" t="s">
        <v>540</v>
      </c>
      <c r="H28" s="654"/>
      <c r="I28" s="1144"/>
    </row>
    <row r="29" spans="1:9" ht="13.8">
      <c r="A29" s="1149" t="s">
        <v>557</v>
      </c>
      <c r="B29" s="1151" t="s">
        <v>559</v>
      </c>
      <c r="C29" s="1153">
        <v>8.5999999999999998E-4</v>
      </c>
      <c r="D29" s="1141" t="s">
        <v>541</v>
      </c>
      <c r="E29" s="670" t="s">
        <v>561</v>
      </c>
      <c r="F29" s="670" t="s">
        <v>562</v>
      </c>
      <c r="G29" s="670" t="s">
        <v>563</v>
      </c>
      <c r="H29" s="670" t="s">
        <v>612</v>
      </c>
      <c r="I29" s="1128">
        <f>TRUNC(SUMPRODUCT(E30:G30,E31:G31)*C29,4)</f>
        <v>7.5300000000000006E-2</v>
      </c>
    </row>
    <row r="30" spans="1:9" ht="13.8">
      <c r="A30" s="1150"/>
      <c r="B30" s="1152"/>
      <c r="C30" s="1154"/>
      <c r="D30" s="1142"/>
      <c r="E30" s="671">
        <v>1.1200000000000001</v>
      </c>
      <c r="F30" s="671">
        <v>0.89</v>
      </c>
      <c r="G30" s="671">
        <v>0.73</v>
      </c>
      <c r="H30" s="671" t="s">
        <v>613</v>
      </c>
      <c r="I30" s="1129"/>
    </row>
    <row r="31" spans="1:9" ht="13.8">
      <c r="A31" s="1150"/>
      <c r="B31" s="1152"/>
      <c r="C31" s="1154"/>
      <c r="D31" s="1143"/>
      <c r="E31" s="672"/>
      <c r="F31" s="683">
        <f>DMT!E18</f>
        <v>0</v>
      </c>
      <c r="G31" s="683">
        <f>DMT!D18</f>
        <v>120</v>
      </c>
      <c r="H31" s="672" t="s">
        <v>537</v>
      </c>
      <c r="I31" s="1129"/>
    </row>
    <row r="32" spans="1:9" ht="13.8">
      <c r="C32" s="1130" t="s">
        <v>544</v>
      </c>
      <c r="D32" s="1130"/>
      <c r="E32" s="1130"/>
      <c r="F32" s="1130"/>
      <c r="G32" s="1130"/>
      <c r="I32" s="673">
        <f>I29</f>
        <v>7.5300000000000006E-2</v>
      </c>
    </row>
    <row r="33" spans="1:9" ht="13.8">
      <c r="C33" s="662"/>
      <c r="D33" s="662"/>
      <c r="E33" s="1130" t="s">
        <v>545</v>
      </c>
      <c r="F33" s="1130"/>
      <c r="G33" s="1130"/>
      <c r="I33" s="669">
        <f>TRUNC(SUM(I23,I26,I32),2)</f>
        <v>188.42</v>
      </c>
    </row>
    <row r="34" spans="1:9" ht="13.8">
      <c r="C34" s="662"/>
      <c r="D34" s="662"/>
      <c r="E34" s="1130" t="s">
        <v>610</v>
      </c>
      <c r="F34" s="1130"/>
      <c r="G34" s="1130"/>
      <c r="I34" s="669">
        <f>TRUNC(I33*0.2332,2)</f>
        <v>43.93</v>
      </c>
    </row>
    <row r="35" spans="1:9" ht="14.4" thickBot="1">
      <c r="A35" s="644"/>
      <c r="B35" s="644"/>
      <c r="C35" s="644"/>
      <c r="D35" s="644"/>
      <c r="E35" s="1131" t="s">
        <v>611</v>
      </c>
      <c r="F35" s="1131"/>
      <c r="G35" s="1131"/>
      <c r="H35" s="644"/>
      <c r="I35" s="666">
        <f>I33+I34</f>
        <v>232.35</v>
      </c>
    </row>
    <row r="36" spans="1:9" ht="13.8" thickTop="1"/>
  </sheetData>
  <mergeCells count="30">
    <mergeCell ref="G16:I16"/>
    <mergeCell ref="G21:I21"/>
    <mergeCell ref="C11:G11"/>
    <mergeCell ref="B4:G4"/>
    <mergeCell ref="H4:I4"/>
    <mergeCell ref="A5:B6"/>
    <mergeCell ref="C5:C6"/>
    <mergeCell ref="C20:G20"/>
    <mergeCell ref="A27:B28"/>
    <mergeCell ref="C27:C28"/>
    <mergeCell ref="D27:D28"/>
    <mergeCell ref="I27:I28"/>
    <mergeCell ref="D5:E5"/>
    <mergeCell ref="F5:G5"/>
    <mergeCell ref="G9:I9"/>
    <mergeCell ref="C12:G12"/>
    <mergeCell ref="C13:G13"/>
    <mergeCell ref="I29:I31"/>
    <mergeCell ref="C22:G22"/>
    <mergeCell ref="H24:I24"/>
    <mergeCell ref="C26:G26"/>
    <mergeCell ref="E27:G27"/>
    <mergeCell ref="E35:G35"/>
    <mergeCell ref="A29:A31"/>
    <mergeCell ref="B29:B31"/>
    <mergeCell ref="C29:C31"/>
    <mergeCell ref="D29:D31"/>
    <mergeCell ref="E34:G34"/>
    <mergeCell ref="C32:G32"/>
    <mergeCell ref="E33:G33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7D08A-6B7D-49E1-8D92-C61398F06284}">
  <dimension ref="A1:I36"/>
  <sheetViews>
    <sheetView view="pageBreakPreview" topLeftCell="A7" zoomScale="85" zoomScaleNormal="85" zoomScaleSheetLayoutView="85" workbookViewId="0">
      <selection activeCell="F31" sqref="F31:G31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5.109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67">
        <v>12.61</v>
      </c>
      <c r="I3" s="647" t="s">
        <v>564</v>
      </c>
    </row>
    <row r="4" spans="1:9" ht="16.2" thickBot="1">
      <c r="A4" s="650">
        <v>3807865</v>
      </c>
      <c r="B4" s="1147" t="s">
        <v>400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3.8">
      <c r="A7" s="655" t="s">
        <v>565</v>
      </c>
      <c r="B7" s="656" t="s">
        <v>566</v>
      </c>
      <c r="C7" s="657">
        <v>1</v>
      </c>
      <c r="D7" s="658">
        <v>1</v>
      </c>
      <c r="E7" s="658">
        <v>0</v>
      </c>
      <c r="F7" s="659">
        <v>9.1073000000000004</v>
      </c>
      <c r="G7" s="659">
        <v>0.4773</v>
      </c>
      <c r="I7" s="659">
        <v>9.1073000000000004</v>
      </c>
    </row>
    <row r="8" spans="1:9" ht="13.8">
      <c r="A8" s="655" t="s">
        <v>567</v>
      </c>
      <c r="B8" s="656" t="s">
        <v>568</v>
      </c>
      <c r="C8" s="657">
        <v>1</v>
      </c>
      <c r="D8" s="658">
        <v>1</v>
      </c>
      <c r="E8" s="658">
        <v>0</v>
      </c>
      <c r="F8" s="659">
        <v>0.90549999999999997</v>
      </c>
      <c r="G8" s="659">
        <v>0.49969999999999998</v>
      </c>
      <c r="I8" s="659">
        <v>0.90549999999999997</v>
      </c>
    </row>
    <row r="9" spans="1:9" ht="14.4" thickBot="1">
      <c r="A9" s="654"/>
      <c r="B9" s="654"/>
      <c r="C9" s="654"/>
      <c r="D9" s="654"/>
      <c r="E9" s="654"/>
      <c r="F9" s="654"/>
      <c r="G9" s="660" t="s">
        <v>514</v>
      </c>
      <c r="H9" s="654"/>
      <c r="I9" s="661">
        <v>10.0128</v>
      </c>
    </row>
    <row r="10" spans="1:9" ht="14.4" thickBot="1">
      <c r="A10" s="651" t="s">
        <v>515</v>
      </c>
      <c r="B10" s="654"/>
      <c r="C10" s="652" t="s">
        <v>504</v>
      </c>
      <c r="D10" s="652" t="s">
        <v>516</v>
      </c>
      <c r="E10" s="654"/>
      <c r="F10" s="652" t="s">
        <v>96</v>
      </c>
      <c r="G10" s="1144" t="s">
        <v>517</v>
      </c>
      <c r="H10" s="1144"/>
      <c r="I10" s="1144"/>
    </row>
    <row r="11" spans="1:9" ht="13.8">
      <c r="A11" s="655" t="s">
        <v>569</v>
      </c>
      <c r="B11" s="656" t="s">
        <v>570</v>
      </c>
      <c r="C11" s="657">
        <v>1</v>
      </c>
      <c r="D11" s="655" t="s">
        <v>168</v>
      </c>
      <c r="F11" s="659">
        <v>21.125499999999999</v>
      </c>
      <c r="I11" s="659">
        <v>21.125499999999999</v>
      </c>
    </row>
    <row r="12" spans="1:9" ht="13.8">
      <c r="C12" s="1130" t="s">
        <v>518</v>
      </c>
      <c r="D12" s="1130"/>
      <c r="E12" s="1130"/>
      <c r="F12" s="1130"/>
      <c r="G12" s="1130"/>
      <c r="I12" s="659">
        <v>21.125499999999999</v>
      </c>
    </row>
    <row r="13" spans="1:9" ht="14.4" thickBot="1">
      <c r="A13" s="654"/>
      <c r="B13" s="654"/>
      <c r="C13" s="1144" t="s">
        <v>519</v>
      </c>
      <c r="D13" s="1144"/>
      <c r="E13" s="1144"/>
      <c r="F13" s="1144"/>
      <c r="G13" s="1144"/>
      <c r="H13" s="654"/>
      <c r="I13" s="663">
        <v>31.138300000000001</v>
      </c>
    </row>
    <row r="14" spans="1:9" ht="13.8">
      <c r="C14" s="1130" t="s">
        <v>520</v>
      </c>
      <c r="D14" s="1130"/>
      <c r="E14" s="1130"/>
      <c r="F14" s="1130"/>
      <c r="G14" s="1130"/>
      <c r="I14" s="664">
        <v>2.4693000000000001</v>
      </c>
    </row>
    <row r="15" spans="1:9" ht="13.8">
      <c r="G15" s="662" t="s">
        <v>521</v>
      </c>
      <c r="I15" s="665" t="s">
        <v>522</v>
      </c>
    </row>
    <row r="16" spans="1:9" ht="14.4" thickBot="1">
      <c r="A16" s="654"/>
      <c r="B16" s="654"/>
      <c r="C16" s="654"/>
      <c r="D16" s="654"/>
      <c r="E16" s="654"/>
      <c r="F16" s="654"/>
      <c r="G16" s="660" t="s">
        <v>523</v>
      </c>
      <c r="H16" s="654"/>
      <c r="I16" s="663" t="s">
        <v>522</v>
      </c>
    </row>
    <row r="17" spans="1:9" ht="14.4" thickBot="1">
      <c r="A17" s="651" t="s">
        <v>524</v>
      </c>
      <c r="B17" s="654"/>
      <c r="C17" s="652" t="s">
        <v>504</v>
      </c>
      <c r="D17" s="652" t="s">
        <v>516</v>
      </c>
      <c r="E17" s="654"/>
      <c r="F17" s="652" t="s">
        <v>525</v>
      </c>
      <c r="G17" s="1144" t="s">
        <v>25</v>
      </c>
      <c r="H17" s="1144"/>
      <c r="I17" s="1144"/>
    </row>
    <row r="18" spans="1:9" ht="13.8">
      <c r="A18" s="655" t="s">
        <v>571</v>
      </c>
      <c r="B18" s="656" t="s">
        <v>572</v>
      </c>
      <c r="C18" s="657">
        <v>6.7099999999999998E-3</v>
      </c>
      <c r="D18" s="655" t="s">
        <v>564</v>
      </c>
      <c r="F18" s="659">
        <v>74.281899999999993</v>
      </c>
      <c r="I18" s="659">
        <v>0.49840000000000001</v>
      </c>
    </row>
    <row r="19" spans="1:9" ht="27.6">
      <c r="A19" s="655" t="s">
        <v>573</v>
      </c>
      <c r="B19" s="656" t="s">
        <v>574</v>
      </c>
      <c r="C19" s="657">
        <v>1</v>
      </c>
      <c r="D19" s="655" t="s">
        <v>564</v>
      </c>
      <c r="F19" s="659">
        <v>31.621400000000001</v>
      </c>
      <c r="I19" s="659">
        <v>31.621400000000001</v>
      </c>
    </row>
    <row r="20" spans="1:9" ht="14.4" thickBot="1">
      <c r="A20" s="654"/>
      <c r="B20" s="654"/>
      <c r="C20" s="1144" t="s">
        <v>526</v>
      </c>
      <c r="D20" s="1144"/>
      <c r="E20" s="1144"/>
      <c r="F20" s="1144"/>
      <c r="G20" s="1144"/>
      <c r="H20" s="654"/>
      <c r="I20" s="661">
        <v>32.119799999999998</v>
      </c>
    </row>
    <row r="21" spans="1:9" ht="14.4" thickBot="1">
      <c r="A21" s="651" t="s">
        <v>527</v>
      </c>
      <c r="B21" s="654"/>
      <c r="C21" s="652" t="s">
        <v>504</v>
      </c>
      <c r="D21" s="652" t="s">
        <v>516</v>
      </c>
      <c r="E21" s="654"/>
      <c r="F21" s="652" t="s">
        <v>25</v>
      </c>
      <c r="G21" s="1144" t="s">
        <v>25</v>
      </c>
      <c r="H21" s="1144"/>
      <c r="I21" s="1144"/>
    </row>
    <row r="22" spans="1:9" ht="14.4" thickBot="1">
      <c r="A22" s="654"/>
      <c r="B22" s="654"/>
      <c r="C22" s="1144" t="s">
        <v>528</v>
      </c>
      <c r="D22" s="1144"/>
      <c r="E22" s="1144"/>
      <c r="F22" s="1144"/>
      <c r="G22" s="1144"/>
      <c r="H22" s="654"/>
      <c r="I22" s="661"/>
    </row>
    <row r="23" spans="1:9" ht="14.4" thickBot="1">
      <c r="A23" s="654"/>
      <c r="B23" s="654"/>
      <c r="C23" s="654"/>
      <c r="D23" s="654"/>
      <c r="E23" s="654"/>
      <c r="F23" s="654"/>
      <c r="G23" s="660" t="s">
        <v>529</v>
      </c>
      <c r="H23" s="654"/>
      <c r="I23" s="663">
        <v>34.589100000000002</v>
      </c>
    </row>
    <row r="24" spans="1:9" ht="14.4" thickBot="1">
      <c r="A24" s="651" t="s">
        <v>530</v>
      </c>
      <c r="B24" s="654"/>
      <c r="C24" s="652" t="s">
        <v>531</v>
      </c>
      <c r="D24" s="652" t="s">
        <v>504</v>
      </c>
      <c r="E24" s="652" t="s">
        <v>516</v>
      </c>
      <c r="F24" s="654"/>
      <c r="G24" s="652" t="s">
        <v>25</v>
      </c>
      <c r="H24" s="1144" t="s">
        <v>25</v>
      </c>
      <c r="I24" s="1144"/>
    </row>
    <row r="25" spans="1:9" ht="27.6">
      <c r="A25" s="655" t="s">
        <v>573</v>
      </c>
      <c r="B25" s="656" t="s">
        <v>575</v>
      </c>
      <c r="C25" s="655" t="s">
        <v>560</v>
      </c>
      <c r="D25" s="657">
        <v>3.2000000000000003E-4</v>
      </c>
      <c r="E25" s="655" t="s">
        <v>360</v>
      </c>
      <c r="G25" s="659">
        <v>32.5</v>
      </c>
      <c r="I25" s="659">
        <v>1.04E-2</v>
      </c>
    </row>
    <row r="26" spans="1:9" ht="14.4" thickBot="1">
      <c r="A26" s="654"/>
      <c r="B26" s="654"/>
      <c r="C26" s="1144" t="s">
        <v>535</v>
      </c>
      <c r="D26" s="1144"/>
      <c r="E26" s="1144"/>
      <c r="F26" s="1144"/>
      <c r="G26" s="1144"/>
      <c r="H26" s="654"/>
      <c r="I26" s="663">
        <v>1.04E-2</v>
      </c>
    </row>
    <row r="27" spans="1:9" ht="14.4" thickBot="1">
      <c r="A27" s="1145" t="s">
        <v>536</v>
      </c>
      <c r="B27" s="1145"/>
      <c r="C27" s="1146" t="s">
        <v>504</v>
      </c>
      <c r="D27" s="1146" t="s">
        <v>516</v>
      </c>
      <c r="E27" s="1146" t="s">
        <v>537</v>
      </c>
      <c r="F27" s="1146"/>
      <c r="G27" s="1146"/>
      <c r="I27" s="1144" t="s">
        <v>25</v>
      </c>
    </row>
    <row r="28" spans="1:9" ht="14.4" thickBot="1">
      <c r="A28" s="1145"/>
      <c r="B28" s="1145"/>
      <c r="C28" s="1146"/>
      <c r="D28" s="1146"/>
      <c r="E28" s="652" t="s">
        <v>538</v>
      </c>
      <c r="F28" s="652" t="s">
        <v>539</v>
      </c>
      <c r="G28" s="652" t="s">
        <v>540</v>
      </c>
      <c r="H28" s="654"/>
      <c r="I28" s="1144"/>
    </row>
    <row r="29" spans="1:9" ht="13.8">
      <c r="A29" s="1149" t="s">
        <v>573</v>
      </c>
      <c r="B29" s="1151" t="s">
        <v>575</v>
      </c>
      <c r="C29" s="1153">
        <v>3.2000000000000003E-4</v>
      </c>
      <c r="D29" s="1141" t="s">
        <v>541</v>
      </c>
      <c r="E29" s="670" t="s">
        <v>561</v>
      </c>
      <c r="F29" s="670" t="s">
        <v>562</v>
      </c>
      <c r="G29" s="670" t="s">
        <v>563</v>
      </c>
      <c r="H29" s="670" t="s">
        <v>612</v>
      </c>
      <c r="I29" s="1128">
        <f>TRUNC(SUMPRODUCT(E30:G30,E31:G31)*C29,4)</f>
        <v>2.8000000000000001E-2</v>
      </c>
    </row>
    <row r="30" spans="1:9" ht="13.8">
      <c r="A30" s="1150"/>
      <c r="B30" s="1152"/>
      <c r="C30" s="1154"/>
      <c r="D30" s="1142"/>
      <c r="E30" s="671">
        <v>1.1200000000000001</v>
      </c>
      <c r="F30" s="671">
        <v>0.89</v>
      </c>
      <c r="G30" s="671">
        <v>0.73</v>
      </c>
      <c r="H30" s="671" t="s">
        <v>613</v>
      </c>
      <c r="I30" s="1129"/>
    </row>
    <row r="31" spans="1:9" ht="13.8">
      <c r="A31" s="1150"/>
      <c r="B31" s="1152"/>
      <c r="C31" s="1154"/>
      <c r="D31" s="1143"/>
      <c r="E31" s="672"/>
      <c r="F31" s="683">
        <f>DMT!E18</f>
        <v>0</v>
      </c>
      <c r="G31" s="683">
        <f>DMT!D18</f>
        <v>120</v>
      </c>
      <c r="H31" s="672" t="s">
        <v>537</v>
      </c>
      <c r="I31" s="1129"/>
    </row>
    <row r="32" spans="1:9" ht="13.8">
      <c r="C32" s="1130" t="s">
        <v>544</v>
      </c>
      <c r="D32" s="1130"/>
      <c r="E32" s="1130"/>
      <c r="F32" s="1130"/>
      <c r="G32" s="1130"/>
      <c r="I32" s="673">
        <f>I29</f>
        <v>2.8000000000000001E-2</v>
      </c>
    </row>
    <row r="33" spans="1:9" ht="13.8">
      <c r="C33" s="662"/>
      <c r="D33" s="662"/>
      <c r="E33" s="1130" t="s">
        <v>545</v>
      </c>
      <c r="F33" s="1130"/>
      <c r="G33" s="1130"/>
      <c r="I33" s="669">
        <f>TRUNC(SUM(I23,I26,I32),2)</f>
        <v>34.619999999999997</v>
      </c>
    </row>
    <row r="34" spans="1:9" ht="13.8">
      <c r="C34" s="662"/>
      <c r="D34" s="662"/>
      <c r="E34" s="1130" t="s">
        <v>610</v>
      </c>
      <c r="F34" s="1130"/>
      <c r="G34" s="1130"/>
      <c r="I34" s="669">
        <f>TRUNC(I33*0.2332,2)</f>
        <v>8.07</v>
      </c>
    </row>
    <row r="35" spans="1:9" ht="14.4" thickBot="1">
      <c r="A35" s="644"/>
      <c r="B35" s="644"/>
      <c r="C35" s="644"/>
      <c r="D35" s="644"/>
      <c r="E35" s="1131" t="s">
        <v>611</v>
      </c>
      <c r="F35" s="1131"/>
      <c r="G35" s="1131"/>
      <c r="H35" s="644"/>
      <c r="I35" s="666">
        <f>I33+I34</f>
        <v>42.69</v>
      </c>
    </row>
    <row r="36" spans="1:9" ht="13.8" thickTop="1"/>
  </sheetData>
  <mergeCells count="30">
    <mergeCell ref="B4:G4"/>
    <mergeCell ref="H4:I4"/>
    <mergeCell ref="A5:B6"/>
    <mergeCell ref="C5:C6"/>
    <mergeCell ref="D5:E5"/>
    <mergeCell ref="F5:G5"/>
    <mergeCell ref="A27:B28"/>
    <mergeCell ref="C27:C28"/>
    <mergeCell ref="D27:D28"/>
    <mergeCell ref="E27:G27"/>
    <mergeCell ref="I27:I28"/>
    <mergeCell ref="I29:I31"/>
    <mergeCell ref="C32:G32"/>
    <mergeCell ref="E33:G33"/>
    <mergeCell ref="G10:I10"/>
    <mergeCell ref="C14:G14"/>
    <mergeCell ref="G17:I17"/>
    <mergeCell ref="G21:I21"/>
    <mergeCell ref="C22:G22"/>
    <mergeCell ref="H24:I24"/>
    <mergeCell ref="C26:G26"/>
    <mergeCell ref="C12:G12"/>
    <mergeCell ref="C13:G13"/>
    <mergeCell ref="C20:G20"/>
    <mergeCell ref="E35:G35"/>
    <mergeCell ref="A29:A31"/>
    <mergeCell ref="B29:B31"/>
    <mergeCell ref="C29:C31"/>
    <mergeCell ref="D29:D31"/>
    <mergeCell ref="E34:G34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B3CE5-8E8D-4FAF-8A27-8EF8CE82D8D1}">
  <dimension ref="A1:I34"/>
  <sheetViews>
    <sheetView view="pageBreakPreview" topLeftCell="A7" zoomScale="85" zoomScaleNormal="85" zoomScaleSheetLayoutView="85" workbookViewId="0">
      <selection activeCell="H29" sqref="H29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5.109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49">
        <v>5</v>
      </c>
      <c r="I3" s="647" t="s">
        <v>33</v>
      </c>
    </row>
    <row r="4" spans="1:9" ht="16.2" thickBot="1">
      <c r="A4" s="650" t="s">
        <v>408</v>
      </c>
      <c r="B4" s="1147" t="s">
        <v>576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4.4" thickBot="1">
      <c r="A7" s="654"/>
      <c r="B7" s="654"/>
      <c r="C7" s="654"/>
      <c r="D7" s="654"/>
      <c r="E7" s="654"/>
      <c r="F7" s="654"/>
      <c r="G7" s="660" t="s">
        <v>514</v>
      </c>
      <c r="H7" s="654"/>
      <c r="I7" s="661"/>
    </row>
    <row r="8" spans="1:9" ht="14.4" thickBot="1">
      <c r="A8" s="651" t="s">
        <v>515</v>
      </c>
      <c r="B8" s="654"/>
      <c r="C8" s="652" t="s">
        <v>504</v>
      </c>
      <c r="D8" s="652" t="s">
        <v>516</v>
      </c>
      <c r="E8" s="654"/>
      <c r="F8" s="652" t="s">
        <v>96</v>
      </c>
      <c r="G8" s="1144" t="s">
        <v>517</v>
      </c>
      <c r="H8" s="1144"/>
      <c r="I8" s="1144"/>
    </row>
    <row r="9" spans="1:9" ht="13.8">
      <c r="A9" s="655" t="s">
        <v>577</v>
      </c>
      <c r="B9" s="656" t="s">
        <v>578</v>
      </c>
      <c r="C9" s="657">
        <v>1</v>
      </c>
      <c r="D9" s="655" t="s">
        <v>168</v>
      </c>
      <c r="F9" s="659">
        <v>24.465900000000001</v>
      </c>
      <c r="I9" s="659">
        <v>24.465900000000001</v>
      </c>
    </row>
    <row r="10" spans="1:9" ht="13.8">
      <c r="A10" s="655" t="s">
        <v>159</v>
      </c>
      <c r="B10" s="656" t="s">
        <v>158</v>
      </c>
      <c r="C10" s="657">
        <v>1</v>
      </c>
      <c r="D10" s="655" t="s">
        <v>168</v>
      </c>
      <c r="F10" s="659">
        <v>18.9879</v>
      </c>
      <c r="I10" s="659">
        <v>18.9879</v>
      </c>
    </row>
    <row r="11" spans="1:9" ht="13.8">
      <c r="C11" s="1130" t="s">
        <v>518</v>
      </c>
      <c r="D11" s="1130"/>
      <c r="E11" s="1130"/>
      <c r="F11" s="1130"/>
      <c r="G11" s="1130"/>
      <c r="I11" s="659">
        <v>43.453800000000001</v>
      </c>
    </row>
    <row r="12" spans="1:9" ht="14.4" thickBot="1">
      <c r="A12" s="654"/>
      <c r="B12" s="654"/>
      <c r="C12" s="1144" t="s">
        <v>519</v>
      </c>
      <c r="D12" s="1144"/>
      <c r="E12" s="1144"/>
      <c r="F12" s="1144"/>
      <c r="G12" s="1144"/>
      <c r="H12" s="654"/>
      <c r="I12" s="663">
        <v>43.453800000000001</v>
      </c>
    </row>
    <row r="13" spans="1:9" ht="13.8">
      <c r="C13" s="1130" t="s">
        <v>520</v>
      </c>
      <c r="D13" s="1130"/>
      <c r="E13" s="1130"/>
      <c r="F13" s="1130"/>
      <c r="G13" s="1130"/>
      <c r="I13" s="664">
        <v>8.6907999999999994</v>
      </c>
    </row>
    <row r="14" spans="1:9" ht="13.8">
      <c r="G14" s="662" t="s">
        <v>521</v>
      </c>
      <c r="I14" s="665" t="s">
        <v>522</v>
      </c>
    </row>
    <row r="15" spans="1:9" ht="14.4" thickBot="1">
      <c r="A15" s="654"/>
      <c r="B15" s="654"/>
      <c r="C15" s="654"/>
      <c r="D15" s="654"/>
      <c r="E15" s="654"/>
      <c r="F15" s="654"/>
      <c r="G15" s="660" t="s">
        <v>523</v>
      </c>
      <c r="H15" s="654"/>
      <c r="I15" s="663" t="s">
        <v>522</v>
      </c>
    </row>
    <row r="16" spans="1:9" ht="14.4" thickBot="1">
      <c r="A16" s="651" t="s">
        <v>524</v>
      </c>
      <c r="B16" s="654"/>
      <c r="C16" s="652" t="s">
        <v>504</v>
      </c>
      <c r="D16" s="652" t="s">
        <v>516</v>
      </c>
      <c r="E16" s="654"/>
      <c r="F16" s="652" t="s">
        <v>525</v>
      </c>
      <c r="G16" s="1144" t="s">
        <v>25</v>
      </c>
      <c r="H16" s="1144"/>
      <c r="I16" s="1144"/>
    </row>
    <row r="17" spans="1:9" ht="13.8">
      <c r="A17" s="655" t="s">
        <v>579</v>
      </c>
      <c r="B17" s="656" t="s">
        <v>580</v>
      </c>
      <c r="C17" s="657">
        <v>1</v>
      </c>
      <c r="D17" s="655" t="s">
        <v>33</v>
      </c>
      <c r="F17" s="659">
        <v>51.874299999999998</v>
      </c>
      <c r="I17" s="659">
        <v>51.874299999999998</v>
      </c>
    </row>
    <row r="18" spans="1:9" ht="14.4" thickBot="1">
      <c r="A18" s="654"/>
      <c r="B18" s="654"/>
      <c r="C18" s="1144" t="s">
        <v>526</v>
      </c>
      <c r="D18" s="1144"/>
      <c r="E18" s="1144"/>
      <c r="F18" s="1144"/>
      <c r="G18" s="1144"/>
      <c r="H18" s="654"/>
      <c r="I18" s="661">
        <v>51.874299999999998</v>
      </c>
    </row>
    <row r="19" spans="1:9" ht="14.4" thickBot="1">
      <c r="A19" s="651" t="s">
        <v>527</v>
      </c>
      <c r="B19" s="654"/>
      <c r="C19" s="652" t="s">
        <v>504</v>
      </c>
      <c r="D19" s="652" t="s">
        <v>516</v>
      </c>
      <c r="E19" s="654"/>
      <c r="F19" s="652" t="s">
        <v>25</v>
      </c>
      <c r="G19" s="1144" t="s">
        <v>25</v>
      </c>
      <c r="H19" s="1144"/>
      <c r="I19" s="1144"/>
    </row>
    <row r="20" spans="1:9" ht="14.4" thickBot="1">
      <c r="A20" s="654"/>
      <c r="B20" s="654"/>
      <c r="C20" s="1144" t="s">
        <v>528</v>
      </c>
      <c r="D20" s="1144"/>
      <c r="E20" s="1144"/>
      <c r="F20" s="1144"/>
      <c r="G20" s="1144"/>
      <c r="H20" s="654"/>
      <c r="I20" s="661"/>
    </row>
    <row r="21" spans="1:9" ht="14.4" thickBot="1">
      <c r="A21" s="654"/>
      <c r="B21" s="654"/>
      <c r="C21" s="654"/>
      <c r="D21" s="654"/>
      <c r="E21" s="654"/>
      <c r="F21" s="654"/>
      <c r="G21" s="660" t="s">
        <v>529</v>
      </c>
      <c r="H21" s="654"/>
      <c r="I21" s="663">
        <v>60.565100000000001</v>
      </c>
    </row>
    <row r="22" spans="1:9" ht="14.4" thickBot="1">
      <c r="A22" s="651" t="s">
        <v>530</v>
      </c>
      <c r="B22" s="654"/>
      <c r="C22" s="652" t="s">
        <v>531</v>
      </c>
      <c r="D22" s="652" t="s">
        <v>504</v>
      </c>
      <c r="E22" s="652" t="s">
        <v>516</v>
      </c>
      <c r="F22" s="654"/>
      <c r="G22" s="652" t="s">
        <v>25</v>
      </c>
      <c r="H22" s="1144" t="s">
        <v>25</v>
      </c>
      <c r="I22" s="1144"/>
    </row>
    <row r="23" spans="1:9" ht="27.6">
      <c r="A23" s="655" t="s">
        <v>579</v>
      </c>
      <c r="B23" s="656" t="s">
        <v>581</v>
      </c>
      <c r="C23" s="655" t="s">
        <v>560</v>
      </c>
      <c r="D23" s="657">
        <v>1E-3</v>
      </c>
      <c r="E23" s="655" t="s">
        <v>360</v>
      </c>
      <c r="G23" s="659">
        <v>32.5</v>
      </c>
      <c r="I23" s="659">
        <v>3.2500000000000001E-2</v>
      </c>
    </row>
    <row r="24" spans="1:9" ht="14.4" thickBot="1">
      <c r="A24" s="654"/>
      <c r="B24" s="654"/>
      <c r="C24" s="1144" t="s">
        <v>535</v>
      </c>
      <c r="D24" s="1144"/>
      <c r="E24" s="1144"/>
      <c r="F24" s="1144"/>
      <c r="G24" s="1144"/>
      <c r="H24" s="654"/>
      <c r="I24" s="663">
        <v>3.2500000000000001E-2</v>
      </c>
    </row>
    <row r="25" spans="1:9" ht="14.4" thickBot="1">
      <c r="A25" s="1145" t="s">
        <v>536</v>
      </c>
      <c r="B25" s="1145"/>
      <c r="C25" s="1146" t="s">
        <v>504</v>
      </c>
      <c r="D25" s="1146" t="s">
        <v>516</v>
      </c>
      <c r="E25" s="1146" t="s">
        <v>537</v>
      </c>
      <c r="F25" s="1146"/>
      <c r="G25" s="1146"/>
      <c r="I25" s="1144" t="s">
        <v>25</v>
      </c>
    </row>
    <row r="26" spans="1:9" ht="14.4" thickBot="1">
      <c r="A26" s="1145"/>
      <c r="B26" s="1145"/>
      <c r="C26" s="1146"/>
      <c r="D26" s="1146"/>
      <c r="E26" s="652" t="s">
        <v>538</v>
      </c>
      <c r="F26" s="652" t="s">
        <v>539</v>
      </c>
      <c r="G26" s="652" t="s">
        <v>540</v>
      </c>
      <c r="H26" s="654"/>
      <c r="I26" s="1144"/>
    </row>
    <row r="27" spans="1:9" ht="13.8">
      <c r="A27" s="1149" t="s">
        <v>579</v>
      </c>
      <c r="B27" s="1151" t="s">
        <v>581</v>
      </c>
      <c r="C27" s="1153">
        <v>1E-3</v>
      </c>
      <c r="D27" s="1141" t="s">
        <v>541</v>
      </c>
      <c r="E27" s="670" t="s">
        <v>561</v>
      </c>
      <c r="F27" s="670" t="s">
        <v>562</v>
      </c>
      <c r="G27" s="670" t="s">
        <v>563</v>
      </c>
      <c r="H27" s="670" t="s">
        <v>612</v>
      </c>
      <c r="I27" s="1128">
        <f>TRUNC(SUMPRODUCT(E28:G28,E29:G29)*C27,4)</f>
        <v>8.7599999999999997E-2</v>
      </c>
    </row>
    <row r="28" spans="1:9" ht="13.8">
      <c r="A28" s="1150"/>
      <c r="B28" s="1152"/>
      <c r="C28" s="1154"/>
      <c r="D28" s="1142"/>
      <c r="E28" s="671">
        <v>1.1200000000000001</v>
      </c>
      <c r="F28" s="671">
        <v>0.89</v>
      </c>
      <c r="G28" s="671">
        <v>0.73</v>
      </c>
      <c r="H28" s="671" t="s">
        <v>613</v>
      </c>
      <c r="I28" s="1129"/>
    </row>
    <row r="29" spans="1:9" ht="13.8">
      <c r="A29" s="1150"/>
      <c r="B29" s="1152"/>
      <c r="C29" s="1154"/>
      <c r="D29" s="1143"/>
      <c r="E29" s="672"/>
      <c r="F29" s="683">
        <f>DMT!E18</f>
        <v>0</v>
      </c>
      <c r="G29" s="683">
        <f>DMT!D18</f>
        <v>120</v>
      </c>
      <c r="H29" s="672" t="s">
        <v>537</v>
      </c>
      <c r="I29" s="1129"/>
    </row>
    <row r="30" spans="1:9" ht="13.8">
      <c r="C30" s="1130" t="s">
        <v>544</v>
      </c>
      <c r="D30" s="1130"/>
      <c r="E30" s="1130"/>
      <c r="F30" s="1130"/>
      <c r="G30" s="1130"/>
      <c r="I30" s="673">
        <f>I27</f>
        <v>8.7599999999999997E-2</v>
      </c>
    </row>
    <row r="31" spans="1:9" ht="13.8">
      <c r="C31" s="662"/>
      <c r="D31" s="662"/>
      <c r="E31" s="1130" t="s">
        <v>545</v>
      </c>
      <c r="F31" s="1130"/>
      <c r="G31" s="1130"/>
      <c r="I31" s="669">
        <f>TRUNC(SUM(I21,I24,I30),2)</f>
        <v>60.68</v>
      </c>
    </row>
    <row r="32" spans="1:9" ht="13.8">
      <c r="C32" s="662"/>
      <c r="D32" s="662"/>
      <c r="E32" s="1130" t="s">
        <v>610</v>
      </c>
      <c r="F32" s="1130"/>
      <c r="G32" s="1130"/>
      <c r="I32" s="669">
        <f>TRUNC(I31*0.2332,2)</f>
        <v>14.15</v>
      </c>
    </row>
    <row r="33" spans="1:9" ht="14.4" thickBot="1">
      <c r="A33" s="644"/>
      <c r="B33" s="644"/>
      <c r="C33" s="644"/>
      <c r="D33" s="644"/>
      <c r="E33" s="1131" t="s">
        <v>611</v>
      </c>
      <c r="F33" s="1131"/>
      <c r="G33" s="1131"/>
      <c r="H33" s="644"/>
      <c r="I33" s="666">
        <f>I31+I32</f>
        <v>74.83</v>
      </c>
    </row>
    <row r="34" spans="1:9" ht="13.8" thickTop="1"/>
  </sheetData>
  <mergeCells count="30">
    <mergeCell ref="B4:G4"/>
    <mergeCell ref="H4:I4"/>
    <mergeCell ref="A5:B6"/>
    <mergeCell ref="C5:C6"/>
    <mergeCell ref="D5:E5"/>
    <mergeCell ref="F5:G5"/>
    <mergeCell ref="H22:I22"/>
    <mergeCell ref="C24:G24"/>
    <mergeCell ref="C25:C26"/>
    <mergeCell ref="A25:B26"/>
    <mergeCell ref="C12:G12"/>
    <mergeCell ref="C13:G13"/>
    <mergeCell ref="C20:G20"/>
    <mergeCell ref="G8:I8"/>
    <mergeCell ref="C11:G11"/>
    <mergeCell ref="G16:I16"/>
    <mergeCell ref="C18:G18"/>
    <mergeCell ref="G19:I19"/>
    <mergeCell ref="A27:A29"/>
    <mergeCell ref="B27:B29"/>
    <mergeCell ref="C27:C29"/>
    <mergeCell ref="D27:D29"/>
    <mergeCell ref="I27:I29"/>
    <mergeCell ref="E32:G32"/>
    <mergeCell ref="E33:G33"/>
    <mergeCell ref="D25:D26"/>
    <mergeCell ref="E25:G25"/>
    <mergeCell ref="I25:I26"/>
    <mergeCell ref="C30:G30"/>
    <mergeCell ref="E31:G31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52D45-8D48-4ECA-A501-CCEE0442D452}">
  <sheetPr>
    <tabColor theme="3" tint="-0.499984740745262"/>
    <pageSetUpPr fitToPage="1"/>
  </sheetPr>
  <dimension ref="A1:I21"/>
  <sheetViews>
    <sheetView showGridLines="0" view="pageBreakPreview" topLeftCell="A4" zoomScaleNormal="100" zoomScaleSheetLayoutView="100" workbookViewId="0">
      <selection activeCell="C17" sqref="C17"/>
    </sheetView>
  </sheetViews>
  <sheetFormatPr defaultColWidth="10.6640625" defaultRowHeight="15" customHeight="1"/>
  <cols>
    <col min="1" max="1" width="20.6640625" style="4" customWidth="1"/>
    <col min="2" max="2" width="24.5546875" style="4" customWidth="1"/>
    <col min="3" max="3" width="21.5546875" style="4" customWidth="1"/>
    <col min="4" max="6" width="10.44140625" style="4" customWidth="1"/>
    <col min="7" max="7" width="10.6640625" style="4"/>
    <col min="8" max="8" width="15.88671875" style="4" bestFit="1" customWidth="1"/>
    <col min="9" max="9" width="11.6640625" style="4" bestFit="1" customWidth="1"/>
    <col min="10" max="16384" width="10.6640625" style="4"/>
  </cols>
  <sheetData>
    <row r="1" spans="1:9" ht="15" customHeight="1">
      <c r="A1" s="468"/>
      <c r="B1" s="469"/>
      <c r="C1" s="469"/>
      <c r="D1" s="469"/>
      <c r="E1" s="469"/>
      <c r="F1" s="470"/>
    </row>
    <row r="2" spans="1:9" ht="15" customHeight="1">
      <c r="A2" s="471"/>
      <c r="B2" s="472" t="s">
        <v>619</v>
      </c>
      <c r="C2" s="473"/>
      <c r="D2" s="473"/>
      <c r="E2" s="473"/>
      <c r="F2" s="474"/>
    </row>
    <row r="3" spans="1:9" ht="15" customHeight="1">
      <c r="A3" s="475" t="s">
        <v>86</v>
      </c>
      <c r="B3" s="710" t="s">
        <v>179</v>
      </c>
      <c r="C3" s="710"/>
      <c r="D3" s="710"/>
      <c r="E3" s="710"/>
      <c r="F3" s="711"/>
    </row>
    <row r="4" spans="1:9" ht="11.4" customHeight="1">
      <c r="A4" s="476" t="s">
        <v>85</v>
      </c>
      <c r="B4" s="718" t="s">
        <v>180</v>
      </c>
      <c r="C4" s="718"/>
      <c r="D4" s="718"/>
      <c r="E4" s="718"/>
      <c r="F4" s="719"/>
    </row>
    <row r="5" spans="1:9" ht="11.4" customHeight="1">
      <c r="A5" s="478"/>
      <c r="B5" s="479"/>
      <c r="C5" s="477"/>
      <c r="D5" s="477"/>
      <c r="E5" s="477"/>
      <c r="F5" s="480"/>
    </row>
    <row r="6" spans="1:9" ht="15" customHeight="1" thickBot="1">
      <c r="A6" s="476" t="s">
        <v>125</v>
      </c>
      <c r="B6" s="675" t="s">
        <v>134</v>
      </c>
      <c r="C6" s="481"/>
      <c r="D6" s="481"/>
      <c r="E6" s="481"/>
      <c r="F6" s="482"/>
    </row>
    <row r="7" spans="1:9" ht="15" customHeight="1">
      <c r="A7" s="725" t="s">
        <v>615</v>
      </c>
      <c r="B7" s="714" t="s">
        <v>616</v>
      </c>
      <c r="C7" s="714" t="s">
        <v>617</v>
      </c>
      <c r="D7" s="722" t="s">
        <v>618</v>
      </c>
      <c r="E7" s="723"/>
      <c r="F7" s="724"/>
    </row>
    <row r="8" spans="1:9" ht="15" customHeight="1">
      <c r="A8" s="726"/>
      <c r="B8" s="727"/>
      <c r="C8" s="727"/>
      <c r="D8" s="680" t="s">
        <v>114</v>
      </c>
      <c r="E8" s="680" t="s">
        <v>123</v>
      </c>
      <c r="F8" s="638" t="s">
        <v>10</v>
      </c>
    </row>
    <row r="9" spans="1:9" ht="39.6">
      <c r="A9" s="678" t="s">
        <v>620</v>
      </c>
      <c r="B9" s="640" t="s">
        <v>621</v>
      </c>
      <c r="C9" s="681" t="s">
        <v>622</v>
      </c>
      <c r="D9" s="682">
        <f>F9-E9</f>
        <v>38.700000000000003</v>
      </c>
      <c r="E9" s="682">
        <v>1.5</v>
      </c>
      <c r="F9" s="682">
        <v>40.200000000000003</v>
      </c>
    </row>
    <row r="10" spans="1:9" ht="15" customHeight="1">
      <c r="A10" s="679" t="s">
        <v>623</v>
      </c>
      <c r="B10" s="640" t="s">
        <v>624</v>
      </c>
      <c r="C10" s="681" t="s">
        <v>622</v>
      </c>
      <c r="D10" s="682">
        <f>F10-E10</f>
        <v>32.6</v>
      </c>
      <c r="E10" s="682">
        <v>0</v>
      </c>
      <c r="F10" s="682">
        <v>32.6</v>
      </c>
    </row>
    <row r="11" spans="1:9" ht="26.4">
      <c r="A11" s="678" t="s">
        <v>625</v>
      </c>
      <c r="B11" s="640" t="s">
        <v>626</v>
      </c>
      <c r="C11" s="681" t="s">
        <v>622</v>
      </c>
      <c r="D11" s="682">
        <f>F11-E11</f>
        <v>4</v>
      </c>
      <c r="E11" s="682">
        <v>1</v>
      </c>
      <c r="F11" s="682">
        <v>5</v>
      </c>
    </row>
    <row r="12" spans="1:9" ht="15" customHeight="1">
      <c r="A12" s="679" t="s">
        <v>628</v>
      </c>
      <c r="B12" s="640" t="s">
        <v>629</v>
      </c>
      <c r="C12" s="681" t="s">
        <v>622</v>
      </c>
      <c r="D12" s="682">
        <f t="shared" ref="D12:D18" si="0">F12-E12</f>
        <v>32.4</v>
      </c>
      <c r="E12" s="682">
        <v>0</v>
      </c>
      <c r="F12" s="682">
        <v>32.4</v>
      </c>
    </row>
    <row r="13" spans="1:9" ht="13.2">
      <c r="A13" s="678" t="s">
        <v>627</v>
      </c>
      <c r="B13" s="640" t="s">
        <v>631</v>
      </c>
      <c r="C13" s="681" t="s">
        <v>622</v>
      </c>
      <c r="D13" s="682">
        <f t="shared" si="0"/>
        <v>30</v>
      </c>
      <c r="E13" s="682">
        <v>0</v>
      </c>
      <c r="F13" s="682">
        <v>30</v>
      </c>
      <c r="H13"/>
    </row>
    <row r="14" spans="1:9" ht="15" customHeight="1">
      <c r="A14" s="679" t="s">
        <v>630</v>
      </c>
      <c r="B14" s="640" t="s">
        <v>631</v>
      </c>
      <c r="C14" s="681" t="s">
        <v>622</v>
      </c>
      <c r="D14" s="682">
        <f t="shared" si="0"/>
        <v>30</v>
      </c>
      <c r="E14" s="682">
        <v>0</v>
      </c>
      <c r="F14" s="682">
        <v>30</v>
      </c>
      <c r="I14"/>
    </row>
    <row r="15" spans="1:9" ht="26.4">
      <c r="A15" s="678" t="s">
        <v>632</v>
      </c>
      <c r="B15" s="640" t="s">
        <v>622</v>
      </c>
      <c r="C15" s="681" t="s">
        <v>633</v>
      </c>
      <c r="D15" s="682">
        <f t="shared" si="0"/>
        <v>3</v>
      </c>
      <c r="E15" s="682">
        <v>2</v>
      </c>
      <c r="F15" s="682">
        <v>5</v>
      </c>
    </row>
    <row r="16" spans="1:9" ht="13.2">
      <c r="A16" s="679" t="s">
        <v>634</v>
      </c>
      <c r="B16" s="640" t="s">
        <v>622</v>
      </c>
      <c r="C16" s="681" t="s">
        <v>635</v>
      </c>
      <c r="D16" s="682">
        <f t="shared" si="0"/>
        <v>37.1</v>
      </c>
      <c r="E16" s="682">
        <v>1</v>
      </c>
      <c r="F16" s="682">
        <v>38.1</v>
      </c>
    </row>
    <row r="17" spans="1:7" ht="26.4">
      <c r="A17" s="641" t="s">
        <v>639</v>
      </c>
      <c r="B17" s="640" t="s">
        <v>640</v>
      </c>
      <c r="C17" s="681" t="s">
        <v>622</v>
      </c>
      <c r="D17" s="682">
        <f>F17-E17</f>
        <v>105</v>
      </c>
      <c r="E17" s="682">
        <v>0</v>
      </c>
      <c r="F17" s="682">
        <v>105</v>
      </c>
    </row>
    <row r="18" spans="1:7" ht="66">
      <c r="A18" s="641" t="s">
        <v>638</v>
      </c>
      <c r="B18" s="640" t="s">
        <v>636</v>
      </c>
      <c r="C18" s="681" t="s">
        <v>622</v>
      </c>
      <c r="D18" s="682">
        <f t="shared" si="0"/>
        <v>120</v>
      </c>
      <c r="E18" s="682">
        <v>0</v>
      </c>
      <c r="F18" s="682">
        <v>120</v>
      </c>
    </row>
    <row r="19" spans="1:7" ht="26.4">
      <c r="A19" s="641" t="s">
        <v>637</v>
      </c>
      <c r="B19" s="640" t="s">
        <v>631</v>
      </c>
      <c r="C19" s="681" t="s">
        <v>622</v>
      </c>
      <c r="D19" s="682">
        <f t="shared" ref="D19" si="1">F19-E19</f>
        <v>30</v>
      </c>
      <c r="E19" s="682">
        <v>0</v>
      </c>
      <c r="F19" s="682">
        <v>30</v>
      </c>
    </row>
    <row r="20" spans="1:7" ht="15" customHeight="1">
      <c r="C20" s="18"/>
      <c r="D20" s="18"/>
      <c r="E20" s="18"/>
      <c r="F20" s="18"/>
      <c r="G20" s="18"/>
    </row>
    <row r="21" spans="1:7" ht="15" customHeight="1">
      <c r="C21" s="18"/>
      <c r="D21" s="18"/>
      <c r="E21" s="18"/>
      <c r="F21" s="18"/>
      <c r="G21" s="18"/>
    </row>
  </sheetData>
  <mergeCells count="6">
    <mergeCell ref="D7:F7"/>
    <mergeCell ref="B3:F3"/>
    <mergeCell ref="B4:F4"/>
    <mergeCell ref="A7:A8"/>
    <mergeCell ref="B7:B8"/>
    <mergeCell ref="C7:C8"/>
  </mergeCells>
  <printOptions horizontalCentered="1"/>
  <pageMargins left="0.59055118110236227" right="0.59055118110236227" top="0.98425196850393704" bottom="0.59055118110236227" header="0" footer="0"/>
  <pageSetup paperSize="9" fitToWidth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F5BB4-9B64-452D-9402-08AEFED784E0}">
  <dimension ref="A1:I39"/>
  <sheetViews>
    <sheetView view="pageBreakPreview" topLeftCell="A13" zoomScale="85" zoomScaleNormal="85" zoomScaleSheetLayoutView="85" workbookViewId="0">
      <selection activeCell="G44" sqref="G44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5.109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49">
        <v>2</v>
      </c>
      <c r="I3" s="647" t="s">
        <v>6</v>
      </c>
    </row>
    <row r="4" spans="1:9" ht="16.2" thickBot="1">
      <c r="A4" s="668" t="s">
        <v>582</v>
      </c>
      <c r="B4" s="1147" t="s">
        <v>164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4.4" thickBot="1">
      <c r="A7" s="654"/>
      <c r="B7" s="654"/>
      <c r="C7" s="654"/>
      <c r="D7" s="654"/>
      <c r="E7" s="654"/>
      <c r="F7" s="654"/>
      <c r="G7" s="660" t="s">
        <v>514</v>
      </c>
      <c r="H7" s="654"/>
      <c r="I7" s="661"/>
    </row>
    <row r="8" spans="1:9" ht="14.4" thickBot="1">
      <c r="A8" s="651" t="s">
        <v>515</v>
      </c>
      <c r="B8" s="654"/>
      <c r="C8" s="652" t="s">
        <v>504</v>
      </c>
      <c r="D8" s="652" t="s">
        <v>516</v>
      </c>
      <c r="E8" s="654"/>
      <c r="F8" s="652" t="s">
        <v>96</v>
      </c>
      <c r="G8" s="1144" t="s">
        <v>517</v>
      </c>
      <c r="H8" s="1144"/>
      <c r="I8" s="1144"/>
    </row>
    <row r="9" spans="1:9" ht="13.8">
      <c r="A9" s="655" t="s">
        <v>577</v>
      </c>
      <c r="B9" s="656" t="s">
        <v>578</v>
      </c>
      <c r="C9" s="657">
        <v>1</v>
      </c>
      <c r="D9" s="655" t="s">
        <v>168</v>
      </c>
      <c r="F9" s="659">
        <v>24.465900000000001</v>
      </c>
      <c r="I9" s="659">
        <v>24.465900000000001</v>
      </c>
    </row>
    <row r="10" spans="1:9" ht="13.8">
      <c r="A10" s="655" t="s">
        <v>159</v>
      </c>
      <c r="B10" s="656" t="s">
        <v>158</v>
      </c>
      <c r="C10" s="657">
        <v>1</v>
      </c>
      <c r="D10" s="655" t="s">
        <v>168</v>
      </c>
      <c r="F10" s="659">
        <v>18.9879</v>
      </c>
      <c r="I10" s="659">
        <v>18.9879</v>
      </c>
    </row>
    <row r="11" spans="1:9" ht="13.8">
      <c r="C11" s="1130" t="s">
        <v>518</v>
      </c>
      <c r="D11" s="1130"/>
      <c r="E11" s="1130"/>
      <c r="F11" s="1130"/>
      <c r="G11" s="1130"/>
      <c r="I11" s="659">
        <v>43.453800000000001</v>
      </c>
    </row>
    <row r="12" spans="1:9" ht="14.4" thickBot="1">
      <c r="A12" s="654"/>
      <c r="B12" s="654"/>
      <c r="C12" s="1144" t="s">
        <v>519</v>
      </c>
      <c r="D12" s="1144"/>
      <c r="E12" s="1144"/>
      <c r="F12" s="1144"/>
      <c r="G12" s="1144"/>
      <c r="H12" s="654"/>
      <c r="I12" s="663">
        <v>43.453800000000001</v>
      </c>
    </row>
    <row r="13" spans="1:9" ht="13.8">
      <c r="C13" s="1130" t="s">
        <v>520</v>
      </c>
      <c r="D13" s="1130"/>
      <c r="E13" s="1130"/>
      <c r="F13" s="1130"/>
      <c r="G13" s="1130"/>
      <c r="I13" s="664">
        <v>21.726900000000001</v>
      </c>
    </row>
    <row r="14" spans="1:9" ht="13.8">
      <c r="G14" s="662" t="s">
        <v>521</v>
      </c>
      <c r="I14" s="665" t="s">
        <v>522</v>
      </c>
    </row>
    <row r="15" spans="1:9" ht="14.4" thickBot="1">
      <c r="A15" s="654"/>
      <c r="B15" s="654"/>
      <c r="C15" s="654"/>
      <c r="D15" s="654"/>
      <c r="E15" s="654"/>
      <c r="F15" s="654"/>
      <c r="G15" s="660" t="s">
        <v>523</v>
      </c>
      <c r="H15" s="654"/>
      <c r="I15" s="663" t="s">
        <v>522</v>
      </c>
    </row>
    <row r="16" spans="1:9" ht="14.4" thickBot="1">
      <c r="A16" s="651" t="s">
        <v>524</v>
      </c>
      <c r="B16" s="654"/>
      <c r="C16" s="652" t="s">
        <v>504</v>
      </c>
      <c r="D16" s="652" t="s">
        <v>516</v>
      </c>
      <c r="E16" s="654"/>
      <c r="F16" s="652" t="s">
        <v>525</v>
      </c>
      <c r="G16" s="1144" t="s">
        <v>25</v>
      </c>
      <c r="H16" s="1144"/>
      <c r="I16" s="1144"/>
    </row>
    <row r="17" spans="1:9" ht="27.6">
      <c r="A17" s="655" t="s">
        <v>583</v>
      </c>
      <c r="B17" s="656" t="s">
        <v>584</v>
      </c>
      <c r="C17" s="657">
        <v>0.93600000000000005</v>
      </c>
      <c r="D17" s="655" t="s">
        <v>33</v>
      </c>
      <c r="F17" s="659">
        <v>127.7189</v>
      </c>
      <c r="I17" s="659">
        <v>119.5449</v>
      </c>
    </row>
    <row r="18" spans="1:9" ht="27.6">
      <c r="A18" s="655" t="s">
        <v>585</v>
      </c>
      <c r="B18" s="656" t="s">
        <v>586</v>
      </c>
      <c r="C18" s="657">
        <v>1</v>
      </c>
      <c r="D18" s="655" t="s">
        <v>6</v>
      </c>
      <c r="F18" s="659">
        <v>762.28359999999998</v>
      </c>
      <c r="I18" s="659">
        <v>762.28359999999998</v>
      </c>
    </row>
    <row r="19" spans="1:9" ht="14.4" thickBot="1">
      <c r="A19" s="654"/>
      <c r="B19" s="654"/>
      <c r="C19" s="1144" t="s">
        <v>526</v>
      </c>
      <c r="D19" s="1144"/>
      <c r="E19" s="1144"/>
      <c r="F19" s="1144"/>
      <c r="G19" s="1144"/>
      <c r="H19" s="654"/>
      <c r="I19" s="661">
        <v>881.82849999999996</v>
      </c>
    </row>
    <row r="20" spans="1:9" ht="14.4" thickBot="1">
      <c r="A20" s="651" t="s">
        <v>527</v>
      </c>
      <c r="B20" s="654"/>
      <c r="C20" s="652" t="s">
        <v>504</v>
      </c>
      <c r="D20" s="652" t="s">
        <v>516</v>
      </c>
      <c r="E20" s="654"/>
      <c r="F20" s="652" t="s">
        <v>25</v>
      </c>
      <c r="G20" s="1144" t="s">
        <v>25</v>
      </c>
      <c r="H20" s="1144"/>
      <c r="I20" s="1144"/>
    </row>
    <row r="21" spans="1:9" ht="14.4" thickBot="1">
      <c r="A21" s="654"/>
      <c r="B21" s="654"/>
      <c r="C21" s="1144" t="s">
        <v>528</v>
      </c>
      <c r="D21" s="1144"/>
      <c r="E21" s="1144"/>
      <c r="F21" s="1144"/>
      <c r="G21" s="1144"/>
      <c r="H21" s="654"/>
      <c r="I21" s="661"/>
    </row>
    <row r="22" spans="1:9" ht="14.4" thickBot="1">
      <c r="A22" s="654"/>
      <c r="B22" s="654"/>
      <c r="C22" s="654"/>
      <c r="D22" s="654"/>
      <c r="E22" s="654"/>
      <c r="F22" s="654"/>
      <c r="G22" s="660" t="s">
        <v>529</v>
      </c>
      <c r="H22" s="654"/>
      <c r="I22" s="663">
        <v>903.55539999999996</v>
      </c>
    </row>
    <row r="23" spans="1:9" ht="14.4" thickBot="1">
      <c r="A23" s="651" t="s">
        <v>530</v>
      </c>
      <c r="B23" s="654"/>
      <c r="C23" s="652" t="s">
        <v>531</v>
      </c>
      <c r="D23" s="652" t="s">
        <v>504</v>
      </c>
      <c r="E23" s="652" t="s">
        <v>516</v>
      </c>
      <c r="F23" s="654"/>
      <c r="G23" s="652" t="s">
        <v>25</v>
      </c>
      <c r="H23" s="1144" t="s">
        <v>25</v>
      </c>
      <c r="I23" s="1144"/>
    </row>
    <row r="24" spans="1:9" ht="27.6">
      <c r="A24" s="655" t="s">
        <v>583</v>
      </c>
      <c r="B24" s="656" t="s">
        <v>587</v>
      </c>
      <c r="C24" s="655" t="s">
        <v>560</v>
      </c>
      <c r="D24" s="657">
        <v>9.3999999999999997E-4</v>
      </c>
      <c r="E24" s="655" t="s">
        <v>360</v>
      </c>
      <c r="G24" s="659">
        <v>32.5</v>
      </c>
      <c r="I24" s="659">
        <v>3.0599999999999999E-2</v>
      </c>
    </row>
    <row r="25" spans="1:9" ht="27.6">
      <c r="A25" s="655" t="s">
        <v>585</v>
      </c>
      <c r="B25" s="656" t="s">
        <v>588</v>
      </c>
      <c r="C25" s="655" t="s">
        <v>560</v>
      </c>
      <c r="D25" s="657">
        <v>1.47E-3</v>
      </c>
      <c r="E25" s="655" t="s">
        <v>360</v>
      </c>
      <c r="G25" s="659">
        <v>32.5</v>
      </c>
      <c r="I25" s="659">
        <v>4.7800000000000002E-2</v>
      </c>
    </row>
    <row r="26" spans="1:9" ht="14.4" thickBot="1">
      <c r="A26" s="654"/>
      <c r="B26" s="654"/>
      <c r="C26" s="1144" t="s">
        <v>535</v>
      </c>
      <c r="D26" s="1144"/>
      <c r="E26" s="1144"/>
      <c r="F26" s="1144"/>
      <c r="G26" s="1144"/>
      <c r="H26" s="654"/>
      <c r="I26" s="663">
        <v>7.8399999999999997E-2</v>
      </c>
    </row>
    <row r="27" spans="1:9" ht="14.4" thickBot="1">
      <c r="A27" s="1145" t="s">
        <v>536</v>
      </c>
      <c r="B27" s="1145"/>
      <c r="C27" s="1146" t="s">
        <v>504</v>
      </c>
      <c r="D27" s="1146" t="s">
        <v>516</v>
      </c>
      <c r="E27" s="1146" t="s">
        <v>537</v>
      </c>
      <c r="F27" s="1146"/>
      <c r="G27" s="1146"/>
      <c r="I27" s="1144" t="s">
        <v>25</v>
      </c>
    </row>
    <row r="28" spans="1:9" ht="14.4" thickBot="1">
      <c r="A28" s="1145"/>
      <c r="B28" s="1145"/>
      <c r="C28" s="1146"/>
      <c r="D28" s="1146"/>
      <c r="E28" s="652" t="s">
        <v>538</v>
      </c>
      <c r="F28" s="652" t="s">
        <v>539</v>
      </c>
      <c r="G28" s="652" t="s">
        <v>540</v>
      </c>
      <c r="H28" s="654"/>
      <c r="I28" s="1144"/>
    </row>
    <row r="29" spans="1:9" ht="13.8">
      <c r="A29" s="1155" t="s">
        <v>583</v>
      </c>
      <c r="B29" s="1157" t="s">
        <v>587</v>
      </c>
      <c r="C29" s="1159">
        <v>9.3999999999999997E-4</v>
      </c>
      <c r="D29" s="1141" t="s">
        <v>541</v>
      </c>
      <c r="E29" s="670" t="s">
        <v>561</v>
      </c>
      <c r="F29" s="670" t="s">
        <v>562</v>
      </c>
      <c r="G29" s="670" t="s">
        <v>563</v>
      </c>
      <c r="H29" s="670" t="s">
        <v>612</v>
      </c>
      <c r="I29" s="1161">
        <f>TRUNC(SUMPRODUCT(E30:G30,E31:G31)*C29,4)</f>
        <v>8.2299999999999998E-2</v>
      </c>
    </row>
    <row r="30" spans="1:9" ht="13.8">
      <c r="A30" s="1156"/>
      <c r="B30" s="1158"/>
      <c r="C30" s="1160"/>
      <c r="D30" s="1142"/>
      <c r="E30" s="671">
        <v>1.1200000000000001</v>
      </c>
      <c r="F30" s="671">
        <v>0.89</v>
      </c>
      <c r="G30" s="671">
        <v>0.73</v>
      </c>
      <c r="H30" s="671" t="s">
        <v>613</v>
      </c>
      <c r="I30" s="1162"/>
    </row>
    <row r="31" spans="1:9" ht="13.8">
      <c r="A31" s="1156"/>
      <c r="B31" s="1158"/>
      <c r="C31" s="1160"/>
      <c r="D31" s="1142"/>
      <c r="E31" s="671"/>
      <c r="F31" s="683">
        <f>DMT!E18</f>
        <v>0</v>
      </c>
      <c r="G31" s="683">
        <f>DMT!D18</f>
        <v>120</v>
      </c>
      <c r="H31" s="671" t="s">
        <v>537</v>
      </c>
      <c r="I31" s="1162"/>
    </row>
    <row r="32" spans="1:9" ht="13.8">
      <c r="A32" s="1156" t="s">
        <v>585</v>
      </c>
      <c r="B32" s="1158" t="s">
        <v>588</v>
      </c>
      <c r="C32" s="1160">
        <v>1.47E-3</v>
      </c>
      <c r="D32" s="1142" t="s">
        <v>541</v>
      </c>
      <c r="E32" s="671" t="s">
        <v>561</v>
      </c>
      <c r="F32" s="671" t="s">
        <v>562</v>
      </c>
      <c r="G32" s="671" t="s">
        <v>563</v>
      </c>
      <c r="H32" s="671" t="s">
        <v>612</v>
      </c>
      <c r="I32" s="1162">
        <f>TRUNC(SUMPRODUCT(E33:G33,E34:G34)*C32,4)</f>
        <v>0.12870000000000001</v>
      </c>
    </row>
    <row r="33" spans="1:9" ht="13.8">
      <c r="A33" s="1156"/>
      <c r="B33" s="1158"/>
      <c r="C33" s="1160"/>
      <c r="D33" s="1142"/>
      <c r="E33" s="671">
        <v>1.1200000000000001</v>
      </c>
      <c r="F33" s="671">
        <v>0.89</v>
      </c>
      <c r="G33" s="671">
        <v>0.73</v>
      </c>
      <c r="H33" s="671" t="s">
        <v>613</v>
      </c>
      <c r="I33" s="1162"/>
    </row>
    <row r="34" spans="1:9" ht="13.8">
      <c r="A34" s="1163"/>
      <c r="B34" s="1164"/>
      <c r="C34" s="1165"/>
      <c r="D34" s="1143"/>
      <c r="E34" s="672"/>
      <c r="F34" s="683">
        <f>DMT!E18</f>
        <v>0</v>
      </c>
      <c r="G34" s="683">
        <f>DMT!D18</f>
        <v>120</v>
      </c>
      <c r="H34" s="672" t="s">
        <v>537</v>
      </c>
      <c r="I34" s="1166"/>
    </row>
    <row r="35" spans="1:9" ht="13.8">
      <c r="C35" s="1130" t="s">
        <v>544</v>
      </c>
      <c r="D35" s="1130"/>
      <c r="E35" s="1130"/>
      <c r="F35" s="1130"/>
      <c r="G35" s="1130"/>
      <c r="I35" s="673">
        <f>SUM(I29:I34)</f>
        <v>0.21100000000000002</v>
      </c>
    </row>
    <row r="36" spans="1:9" ht="13.8">
      <c r="C36" s="662"/>
      <c r="D36" s="662"/>
      <c r="E36" s="1130" t="s">
        <v>545</v>
      </c>
      <c r="F36" s="1130"/>
      <c r="G36" s="1130"/>
      <c r="I36" s="669">
        <f>TRUNC(SUM(I22,I26,I35),2)</f>
        <v>903.84</v>
      </c>
    </row>
    <row r="37" spans="1:9" ht="13.8">
      <c r="C37" s="662"/>
      <c r="D37" s="662"/>
      <c r="E37" s="1130" t="s">
        <v>610</v>
      </c>
      <c r="F37" s="1130"/>
      <c r="G37" s="1130"/>
      <c r="I37" s="669">
        <f>TRUNC(I36*0.2332,2)</f>
        <v>210.77</v>
      </c>
    </row>
    <row r="38" spans="1:9" ht="14.4" thickBot="1">
      <c r="A38" s="644"/>
      <c r="B38" s="644"/>
      <c r="C38" s="644"/>
      <c r="D38" s="644"/>
      <c r="E38" s="1131" t="s">
        <v>611</v>
      </c>
      <c r="F38" s="1131"/>
      <c r="G38" s="1131"/>
      <c r="H38" s="644"/>
      <c r="I38" s="666">
        <f>I36+I37</f>
        <v>1114.6100000000001</v>
      </c>
    </row>
    <row r="39" spans="1:9" ht="13.8" thickTop="1"/>
  </sheetData>
  <mergeCells count="35">
    <mergeCell ref="B4:G4"/>
    <mergeCell ref="H4:I4"/>
    <mergeCell ref="A5:B6"/>
    <mergeCell ref="C5:C6"/>
    <mergeCell ref="D5:E5"/>
    <mergeCell ref="F5:G5"/>
    <mergeCell ref="G20:I20"/>
    <mergeCell ref="C21:G21"/>
    <mergeCell ref="H23:I23"/>
    <mergeCell ref="C26:G26"/>
    <mergeCell ref="C13:G13"/>
    <mergeCell ref="G8:I8"/>
    <mergeCell ref="C11:G11"/>
    <mergeCell ref="C12:G12"/>
    <mergeCell ref="G16:I16"/>
    <mergeCell ref="C19:G19"/>
    <mergeCell ref="A27:B28"/>
    <mergeCell ref="C27:C28"/>
    <mergeCell ref="D27:D28"/>
    <mergeCell ref="E27:G27"/>
    <mergeCell ref="I27:I28"/>
    <mergeCell ref="I29:I31"/>
    <mergeCell ref="A32:A34"/>
    <mergeCell ref="B32:B34"/>
    <mergeCell ref="C32:C34"/>
    <mergeCell ref="D32:D34"/>
    <mergeCell ref="I32:I34"/>
    <mergeCell ref="E37:G37"/>
    <mergeCell ref="E38:G38"/>
    <mergeCell ref="E36:G36"/>
    <mergeCell ref="A29:A31"/>
    <mergeCell ref="B29:B31"/>
    <mergeCell ref="C29:C31"/>
    <mergeCell ref="D29:D31"/>
    <mergeCell ref="C35:G35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B46A7-8CEF-4012-B3DC-E76D6766E57A}">
  <dimension ref="A1:I39"/>
  <sheetViews>
    <sheetView view="pageBreakPreview" topLeftCell="A10" zoomScale="85" zoomScaleNormal="85" zoomScaleSheetLayoutView="85" workbookViewId="0">
      <selection activeCell="F34" sqref="F34:G34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5.109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49">
        <v>5</v>
      </c>
      <c r="I3" s="647" t="s">
        <v>6</v>
      </c>
    </row>
    <row r="4" spans="1:9" ht="16.2" thickBot="1">
      <c r="A4" s="650" t="s">
        <v>589</v>
      </c>
      <c r="B4" s="1147" t="s">
        <v>157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3.8">
      <c r="A7" s="655" t="s">
        <v>565</v>
      </c>
      <c r="B7" s="656" t="s">
        <v>566</v>
      </c>
      <c r="C7" s="657">
        <v>0.60241</v>
      </c>
      <c r="D7" s="658">
        <v>1</v>
      </c>
      <c r="E7" s="658">
        <v>0</v>
      </c>
      <c r="F7" s="659">
        <v>9.1073000000000004</v>
      </c>
      <c r="G7" s="659">
        <v>0.4773</v>
      </c>
      <c r="I7" s="659">
        <v>5.4863</v>
      </c>
    </row>
    <row r="8" spans="1:9" ht="13.8">
      <c r="A8" s="655" t="s">
        <v>567</v>
      </c>
      <c r="B8" s="656" t="s">
        <v>568</v>
      </c>
      <c r="C8" s="657">
        <v>0.60241</v>
      </c>
      <c r="D8" s="658">
        <v>1</v>
      </c>
      <c r="E8" s="658">
        <v>0</v>
      </c>
      <c r="F8" s="659">
        <v>0.90549999999999997</v>
      </c>
      <c r="G8" s="659">
        <v>0.49969999999999998</v>
      </c>
      <c r="I8" s="659">
        <v>0.54549999999999998</v>
      </c>
    </row>
    <row r="9" spans="1:9" ht="13.8">
      <c r="A9" s="655" t="s">
        <v>590</v>
      </c>
      <c r="B9" s="656" t="s">
        <v>591</v>
      </c>
      <c r="C9" s="657">
        <v>0.12048</v>
      </c>
      <c r="D9" s="658">
        <v>1</v>
      </c>
      <c r="E9" s="658">
        <v>0</v>
      </c>
      <c r="F9" s="659">
        <v>18.719000000000001</v>
      </c>
      <c r="G9" s="659">
        <v>1.786</v>
      </c>
      <c r="I9" s="659">
        <v>2.2553000000000001</v>
      </c>
    </row>
    <row r="10" spans="1:9" ht="14.4" thickBot="1">
      <c r="A10" s="654"/>
      <c r="B10" s="654"/>
      <c r="C10" s="654"/>
      <c r="D10" s="654"/>
      <c r="E10" s="654"/>
      <c r="F10" s="654"/>
      <c r="G10" s="660" t="s">
        <v>514</v>
      </c>
      <c r="H10" s="654"/>
      <c r="I10" s="661">
        <v>8.2871000000000006</v>
      </c>
    </row>
    <row r="11" spans="1:9" ht="14.4" thickBot="1">
      <c r="A11" s="651" t="s">
        <v>515</v>
      </c>
      <c r="B11" s="654"/>
      <c r="C11" s="652" t="s">
        <v>504</v>
      </c>
      <c r="D11" s="652" t="s">
        <v>516</v>
      </c>
      <c r="E11" s="654"/>
      <c r="F11" s="652" t="s">
        <v>96</v>
      </c>
      <c r="G11" s="1144" t="s">
        <v>517</v>
      </c>
      <c r="H11" s="1144"/>
      <c r="I11" s="1144"/>
    </row>
    <row r="12" spans="1:9" ht="13.8">
      <c r="A12" s="655" t="s">
        <v>577</v>
      </c>
      <c r="B12" s="656" t="s">
        <v>578</v>
      </c>
      <c r="C12" s="657">
        <v>1</v>
      </c>
      <c r="D12" s="655" t="s">
        <v>168</v>
      </c>
      <c r="F12" s="659">
        <v>24.465900000000001</v>
      </c>
      <c r="I12" s="659">
        <v>24.465900000000001</v>
      </c>
    </row>
    <row r="13" spans="1:9" ht="13.8">
      <c r="A13" s="655" t="s">
        <v>159</v>
      </c>
      <c r="B13" s="656" t="s">
        <v>158</v>
      </c>
      <c r="C13" s="657">
        <v>2</v>
      </c>
      <c r="D13" s="655" t="s">
        <v>168</v>
      </c>
      <c r="F13" s="659">
        <v>18.9879</v>
      </c>
      <c r="I13" s="659">
        <v>37.9758</v>
      </c>
    </row>
    <row r="14" spans="1:9" ht="13.8">
      <c r="C14" s="1130" t="s">
        <v>518</v>
      </c>
      <c r="D14" s="1130"/>
      <c r="E14" s="1130"/>
      <c r="F14" s="1130"/>
      <c r="G14" s="1130"/>
      <c r="I14" s="659">
        <v>62.441699999999997</v>
      </c>
    </row>
    <row r="15" spans="1:9" ht="14.4" thickBot="1">
      <c r="A15" s="654"/>
      <c r="B15" s="654"/>
      <c r="C15" s="1144" t="s">
        <v>519</v>
      </c>
      <c r="D15" s="1144"/>
      <c r="E15" s="1144"/>
      <c r="F15" s="1144"/>
      <c r="G15" s="1144"/>
      <c r="H15" s="654"/>
      <c r="I15" s="663">
        <v>70.728800000000007</v>
      </c>
    </row>
    <row r="16" spans="1:9" ht="13.8">
      <c r="C16" s="1130" t="s">
        <v>520</v>
      </c>
      <c r="D16" s="1130"/>
      <c r="E16" s="1130"/>
      <c r="F16" s="1130"/>
      <c r="G16" s="1130"/>
      <c r="I16" s="664">
        <v>14.145799999999999</v>
      </c>
    </row>
    <row r="17" spans="1:9" ht="13.8">
      <c r="G17" s="662" t="s">
        <v>521</v>
      </c>
      <c r="I17" s="665" t="s">
        <v>522</v>
      </c>
    </row>
    <row r="18" spans="1:9" ht="14.4" thickBot="1">
      <c r="A18" s="654"/>
      <c r="B18" s="654"/>
      <c r="C18" s="654"/>
      <c r="D18" s="654"/>
      <c r="E18" s="654"/>
      <c r="F18" s="654"/>
      <c r="G18" s="660" t="s">
        <v>523</v>
      </c>
      <c r="H18" s="654"/>
      <c r="I18" s="663" t="s">
        <v>522</v>
      </c>
    </row>
    <row r="19" spans="1:9" ht="14.4" thickBot="1">
      <c r="A19" s="651" t="s">
        <v>524</v>
      </c>
      <c r="B19" s="654"/>
      <c r="C19" s="652" t="s">
        <v>504</v>
      </c>
      <c r="D19" s="652" t="s">
        <v>516</v>
      </c>
      <c r="E19" s="654"/>
      <c r="F19" s="652" t="s">
        <v>525</v>
      </c>
      <c r="G19" s="1144" t="s">
        <v>25</v>
      </c>
      <c r="H19" s="1144"/>
      <c r="I19" s="1144"/>
    </row>
    <row r="20" spans="1:9" ht="13.8">
      <c r="A20" s="655" t="s">
        <v>592</v>
      </c>
      <c r="B20" s="656" t="s">
        <v>593</v>
      </c>
      <c r="C20" s="657">
        <v>2.4</v>
      </c>
      <c r="D20" s="655" t="s">
        <v>33</v>
      </c>
      <c r="F20" s="659">
        <v>5.3985000000000003</v>
      </c>
      <c r="I20" s="659">
        <v>12.9564</v>
      </c>
    </row>
    <row r="21" spans="1:9" ht="13.8">
      <c r="A21" s="655" t="s">
        <v>594</v>
      </c>
      <c r="B21" s="656" t="s">
        <v>595</v>
      </c>
      <c r="C21" s="657">
        <v>6.6699999999999997E-3</v>
      </c>
      <c r="D21" s="655" t="s">
        <v>564</v>
      </c>
      <c r="F21" s="659">
        <v>428.142</v>
      </c>
      <c r="I21" s="659">
        <v>2.8557000000000001</v>
      </c>
    </row>
    <row r="22" spans="1:9" ht="13.8">
      <c r="A22" s="655" t="s">
        <v>596</v>
      </c>
      <c r="B22" s="656" t="s">
        <v>597</v>
      </c>
      <c r="C22" s="657">
        <v>8.0000000000000004E-4</v>
      </c>
      <c r="D22" s="655" t="s">
        <v>564</v>
      </c>
      <c r="F22" s="659">
        <v>421.36559999999997</v>
      </c>
      <c r="I22" s="659">
        <v>0.33710000000000001</v>
      </c>
    </row>
    <row r="23" spans="1:9" ht="14.4" thickBot="1">
      <c r="A23" s="654"/>
      <c r="B23" s="654"/>
      <c r="C23" s="1144" t="s">
        <v>526</v>
      </c>
      <c r="D23" s="1144"/>
      <c r="E23" s="1144"/>
      <c r="F23" s="1144"/>
      <c r="G23" s="1144"/>
      <c r="H23" s="654"/>
      <c r="I23" s="661">
        <v>16.1492</v>
      </c>
    </row>
    <row r="24" spans="1:9" ht="14.4" thickBot="1">
      <c r="A24" s="651" t="s">
        <v>527</v>
      </c>
      <c r="B24" s="654"/>
      <c r="C24" s="652" t="s">
        <v>504</v>
      </c>
      <c r="D24" s="652" t="s">
        <v>516</v>
      </c>
      <c r="E24" s="654"/>
      <c r="F24" s="652" t="s">
        <v>25</v>
      </c>
      <c r="G24" s="1144" t="s">
        <v>25</v>
      </c>
      <c r="H24" s="1144"/>
      <c r="I24" s="1144"/>
    </row>
    <row r="25" spans="1:9" ht="14.4" thickBot="1">
      <c r="A25" s="654"/>
      <c r="B25" s="654"/>
      <c r="C25" s="1144" t="s">
        <v>528</v>
      </c>
      <c r="D25" s="1144"/>
      <c r="E25" s="1144"/>
      <c r="F25" s="1144"/>
      <c r="G25" s="1144"/>
      <c r="H25" s="654"/>
      <c r="I25" s="661"/>
    </row>
    <row r="26" spans="1:9" ht="14.4" thickBot="1">
      <c r="A26" s="654"/>
      <c r="B26" s="654"/>
      <c r="C26" s="654"/>
      <c r="D26" s="654"/>
      <c r="E26" s="654"/>
      <c r="F26" s="654"/>
      <c r="G26" s="660" t="s">
        <v>529</v>
      </c>
      <c r="H26" s="654"/>
      <c r="I26" s="663">
        <v>30.295000000000002</v>
      </c>
    </row>
    <row r="27" spans="1:9" ht="14.4" thickBot="1">
      <c r="A27" s="651" t="s">
        <v>530</v>
      </c>
      <c r="B27" s="654"/>
      <c r="C27" s="652" t="s">
        <v>531</v>
      </c>
      <c r="D27" s="652" t="s">
        <v>504</v>
      </c>
      <c r="E27" s="652" t="s">
        <v>516</v>
      </c>
      <c r="F27" s="654"/>
      <c r="G27" s="652" t="s">
        <v>25</v>
      </c>
      <c r="H27" s="1144" t="s">
        <v>25</v>
      </c>
      <c r="I27" s="1144"/>
    </row>
    <row r="28" spans="1:9" ht="27.6">
      <c r="A28" s="655" t="s">
        <v>592</v>
      </c>
      <c r="B28" s="656" t="s">
        <v>598</v>
      </c>
      <c r="C28" s="655" t="s">
        <v>560</v>
      </c>
      <c r="D28" s="657">
        <v>2.3999999999999998E-3</v>
      </c>
      <c r="E28" s="655" t="s">
        <v>360</v>
      </c>
      <c r="G28" s="659">
        <v>32.5</v>
      </c>
      <c r="I28" s="659">
        <v>7.8E-2</v>
      </c>
    </row>
    <row r="29" spans="1:9" ht="14.4" thickBot="1">
      <c r="A29" s="654"/>
      <c r="B29" s="654"/>
      <c r="C29" s="1144" t="s">
        <v>535</v>
      </c>
      <c r="D29" s="1144"/>
      <c r="E29" s="1144"/>
      <c r="F29" s="1144"/>
      <c r="G29" s="1144"/>
      <c r="H29" s="654"/>
      <c r="I29" s="663">
        <v>7.8E-2</v>
      </c>
    </row>
    <row r="30" spans="1:9" ht="14.4" thickBot="1">
      <c r="A30" s="1145" t="s">
        <v>536</v>
      </c>
      <c r="B30" s="1145"/>
      <c r="C30" s="1146" t="s">
        <v>504</v>
      </c>
      <c r="D30" s="1146" t="s">
        <v>516</v>
      </c>
      <c r="E30" s="1146" t="s">
        <v>537</v>
      </c>
      <c r="F30" s="1146"/>
      <c r="G30" s="1146"/>
      <c r="I30" s="1144" t="s">
        <v>25</v>
      </c>
    </row>
    <row r="31" spans="1:9" ht="14.4" thickBot="1">
      <c r="A31" s="1145"/>
      <c r="B31" s="1145"/>
      <c r="C31" s="1146"/>
      <c r="D31" s="1146"/>
      <c r="E31" s="652" t="s">
        <v>538</v>
      </c>
      <c r="F31" s="652" t="s">
        <v>539</v>
      </c>
      <c r="G31" s="652" t="s">
        <v>540</v>
      </c>
      <c r="H31" s="654"/>
      <c r="I31" s="1144"/>
    </row>
    <row r="32" spans="1:9" ht="13.8">
      <c r="A32" s="1149" t="s">
        <v>592</v>
      </c>
      <c r="B32" s="1151" t="s">
        <v>598</v>
      </c>
      <c r="C32" s="1153">
        <v>2.3999999999999998E-3</v>
      </c>
      <c r="D32" s="1141" t="s">
        <v>541</v>
      </c>
      <c r="E32" s="670" t="s">
        <v>561</v>
      </c>
      <c r="F32" s="670" t="s">
        <v>562</v>
      </c>
      <c r="G32" s="670" t="s">
        <v>563</v>
      </c>
      <c r="H32" s="670" t="s">
        <v>612</v>
      </c>
      <c r="I32" s="1161">
        <f>TRUNC(SUMPRODUCT(E33:G33,E34:G34)*C32,4)</f>
        <v>0.2102</v>
      </c>
    </row>
    <row r="33" spans="1:9" ht="13.8">
      <c r="A33" s="1150"/>
      <c r="B33" s="1152"/>
      <c r="C33" s="1154"/>
      <c r="D33" s="1142"/>
      <c r="E33" s="671">
        <v>1.1200000000000001</v>
      </c>
      <c r="F33" s="671">
        <v>0.89</v>
      </c>
      <c r="G33" s="671">
        <v>0.73</v>
      </c>
      <c r="H33" s="671" t="s">
        <v>613</v>
      </c>
      <c r="I33" s="1162"/>
    </row>
    <row r="34" spans="1:9" ht="13.8">
      <c r="A34" s="1150"/>
      <c r="B34" s="1152"/>
      <c r="C34" s="1154"/>
      <c r="D34" s="1143"/>
      <c r="E34" s="672"/>
      <c r="F34" s="683">
        <f>DMT!E18</f>
        <v>0</v>
      </c>
      <c r="G34" s="683">
        <f>DMT!D18</f>
        <v>120</v>
      </c>
      <c r="H34" s="671" t="s">
        <v>537</v>
      </c>
      <c r="I34" s="1162"/>
    </row>
    <row r="35" spans="1:9" ht="13.8">
      <c r="C35" s="1130" t="s">
        <v>544</v>
      </c>
      <c r="D35" s="1130"/>
      <c r="E35" s="1130"/>
      <c r="F35" s="1130"/>
      <c r="G35" s="1130"/>
      <c r="I35" s="673">
        <f>I32</f>
        <v>0.2102</v>
      </c>
    </row>
    <row r="36" spans="1:9" ht="13.8">
      <c r="C36" s="662"/>
      <c r="D36" s="662"/>
      <c r="E36" s="1130" t="s">
        <v>545</v>
      </c>
      <c r="F36" s="1130"/>
      <c r="G36" s="1130"/>
      <c r="I36" s="669">
        <f>TRUNC(SUM(I26,I29,I35),2)</f>
        <v>30.58</v>
      </c>
    </row>
    <row r="37" spans="1:9" ht="13.8">
      <c r="C37" s="662"/>
      <c r="D37" s="662"/>
      <c r="E37" s="1130" t="s">
        <v>610</v>
      </c>
      <c r="F37" s="1130"/>
      <c r="G37" s="1130"/>
      <c r="I37" s="669">
        <f>TRUNC(I36*0.2332,2)</f>
        <v>7.13</v>
      </c>
    </row>
    <row r="38" spans="1:9" ht="14.4" thickBot="1">
      <c r="A38" s="644"/>
      <c r="B38" s="644"/>
      <c r="C38" s="644"/>
      <c r="D38" s="644"/>
      <c r="E38" s="1131" t="s">
        <v>611</v>
      </c>
      <c r="F38" s="1131"/>
      <c r="G38" s="1131"/>
      <c r="H38" s="644"/>
      <c r="I38" s="666">
        <f>I36+I37</f>
        <v>37.71</v>
      </c>
    </row>
    <row r="39" spans="1:9" ht="13.8" thickTop="1"/>
  </sheetData>
  <mergeCells count="30">
    <mergeCell ref="B4:G4"/>
    <mergeCell ref="H4:I4"/>
    <mergeCell ref="A5:B6"/>
    <mergeCell ref="C5:C6"/>
    <mergeCell ref="D5:E5"/>
    <mergeCell ref="F5:G5"/>
    <mergeCell ref="I30:I31"/>
    <mergeCell ref="G11:I11"/>
    <mergeCell ref="C14:G14"/>
    <mergeCell ref="C15:G15"/>
    <mergeCell ref="C16:G16"/>
    <mergeCell ref="G19:I19"/>
    <mergeCell ref="C23:G23"/>
    <mergeCell ref="G24:I24"/>
    <mergeCell ref="C25:G25"/>
    <mergeCell ref="H27:I27"/>
    <mergeCell ref="A32:A34"/>
    <mergeCell ref="B32:B34"/>
    <mergeCell ref="C32:C34"/>
    <mergeCell ref="D32:D34"/>
    <mergeCell ref="C29:G29"/>
    <mergeCell ref="A30:B31"/>
    <mergeCell ref="C30:C31"/>
    <mergeCell ref="D30:D31"/>
    <mergeCell ref="E30:G30"/>
    <mergeCell ref="I32:I34"/>
    <mergeCell ref="E37:G37"/>
    <mergeCell ref="E38:G38"/>
    <mergeCell ref="C35:G35"/>
    <mergeCell ref="E36:G36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3D41-3995-46EC-BE6F-34F11158592E}">
  <dimension ref="A1:I35"/>
  <sheetViews>
    <sheetView view="pageBreakPreview" topLeftCell="A10" zoomScale="85" zoomScaleNormal="85" zoomScaleSheetLayoutView="85" workbookViewId="0">
      <selection activeCell="H30" sqref="H30"/>
    </sheetView>
  </sheetViews>
  <sheetFormatPr defaultRowHeight="13.2"/>
  <cols>
    <col min="1" max="1" width="10.109375" customWidth="1"/>
    <col min="2" max="2" width="62.44140625" customWidth="1"/>
    <col min="3" max="3" width="14.5546875" customWidth="1"/>
    <col min="4" max="4" width="13.44140625" customWidth="1"/>
    <col min="5" max="5" width="13.88671875" customWidth="1"/>
    <col min="6" max="7" width="16.5546875" customWidth="1"/>
    <col min="8" max="8" width="15.109375" bestFit="1" customWidth="1"/>
    <col min="9" max="9" width="19.88671875" customWidth="1"/>
  </cols>
  <sheetData>
    <row r="1" spans="1:9" ht="21.6" thickBot="1">
      <c r="A1" s="643" t="s">
        <v>494</v>
      </c>
      <c r="B1" s="644"/>
      <c r="C1" s="644"/>
      <c r="D1" s="644"/>
      <c r="E1" s="644"/>
      <c r="F1" s="644"/>
      <c r="G1" s="644"/>
      <c r="H1" s="644"/>
      <c r="I1" s="645" t="s">
        <v>495</v>
      </c>
    </row>
    <row r="2" spans="1:9" ht="18" thickTop="1">
      <c r="A2" s="646" t="s">
        <v>496</v>
      </c>
      <c r="D2" s="646" t="s">
        <v>497</v>
      </c>
    </row>
    <row r="3" spans="1:9" ht="15.6">
      <c r="A3" s="647" t="s">
        <v>498</v>
      </c>
      <c r="D3" s="647" t="s">
        <v>499</v>
      </c>
      <c r="G3" s="648" t="s">
        <v>500</v>
      </c>
      <c r="H3" s="667">
        <v>11.83</v>
      </c>
      <c r="I3" s="647" t="s">
        <v>7</v>
      </c>
    </row>
    <row r="4" spans="1:9" ht="16.2" thickBot="1">
      <c r="A4" s="650" t="s">
        <v>599</v>
      </c>
      <c r="B4" s="1147" t="s">
        <v>600</v>
      </c>
      <c r="C4" s="1147"/>
      <c r="D4" s="1147"/>
      <c r="E4" s="1147"/>
      <c r="F4" s="1147"/>
      <c r="G4" s="1147"/>
      <c r="H4" s="1148" t="s">
        <v>502</v>
      </c>
      <c r="I4" s="1148"/>
    </row>
    <row r="5" spans="1:9" ht="14.4" thickBot="1">
      <c r="A5" s="1145" t="s">
        <v>503</v>
      </c>
      <c r="B5" s="1145"/>
      <c r="C5" s="1146" t="s">
        <v>504</v>
      </c>
      <c r="D5" s="1146" t="s">
        <v>505</v>
      </c>
      <c r="E5" s="1146"/>
      <c r="F5" s="1146" t="s">
        <v>96</v>
      </c>
      <c r="G5" s="1146"/>
      <c r="I5" s="653" t="s">
        <v>506</v>
      </c>
    </row>
    <row r="6" spans="1:9" ht="14.4" thickBot="1">
      <c r="A6" s="1145"/>
      <c r="B6" s="1145"/>
      <c r="C6" s="1146"/>
      <c r="D6" s="652" t="s">
        <v>507</v>
      </c>
      <c r="E6" s="652" t="s">
        <v>508</v>
      </c>
      <c r="F6" s="652" t="s">
        <v>509</v>
      </c>
      <c r="G6" s="652" t="s">
        <v>510</v>
      </c>
      <c r="H6" s="654"/>
      <c r="I6" s="652" t="s">
        <v>511</v>
      </c>
    </row>
    <row r="7" spans="1:9" ht="13.8">
      <c r="A7" s="655" t="s">
        <v>601</v>
      </c>
      <c r="B7" s="656" t="s">
        <v>602</v>
      </c>
      <c r="C7" s="657">
        <v>1</v>
      </c>
      <c r="D7" s="658">
        <v>1</v>
      </c>
      <c r="E7" s="658">
        <v>0</v>
      </c>
      <c r="F7" s="659">
        <v>52.451099999999997</v>
      </c>
      <c r="G7" s="659">
        <v>10.9011</v>
      </c>
      <c r="I7" s="659">
        <v>52.451099999999997</v>
      </c>
    </row>
    <row r="8" spans="1:9" ht="13.8">
      <c r="A8" s="655" t="s">
        <v>603</v>
      </c>
      <c r="B8" s="656" t="s">
        <v>604</v>
      </c>
      <c r="C8" s="657">
        <v>1</v>
      </c>
      <c r="D8" s="658">
        <v>1</v>
      </c>
      <c r="E8" s="658">
        <v>0</v>
      </c>
      <c r="F8" s="659">
        <v>27.304600000000001</v>
      </c>
      <c r="G8" s="659">
        <v>25.1191</v>
      </c>
      <c r="I8" s="659">
        <v>27.304600000000001</v>
      </c>
    </row>
    <row r="9" spans="1:9" ht="14.4" thickBot="1">
      <c r="A9" s="654"/>
      <c r="B9" s="654"/>
      <c r="C9" s="654"/>
      <c r="D9" s="654"/>
      <c r="E9" s="654"/>
      <c r="F9" s="654"/>
      <c r="G9" s="660" t="s">
        <v>514</v>
      </c>
      <c r="H9" s="654"/>
      <c r="I9" s="661">
        <v>79.755700000000004</v>
      </c>
    </row>
    <row r="10" spans="1:9" ht="14.4" thickBot="1">
      <c r="A10" s="651" t="s">
        <v>515</v>
      </c>
      <c r="B10" s="654"/>
      <c r="C10" s="652" t="s">
        <v>504</v>
      </c>
      <c r="D10" s="652" t="s">
        <v>516</v>
      </c>
      <c r="E10" s="654"/>
      <c r="F10" s="652" t="s">
        <v>96</v>
      </c>
      <c r="G10" s="1144" t="s">
        <v>517</v>
      </c>
      <c r="H10" s="1144"/>
      <c r="I10" s="1144"/>
    </row>
    <row r="11" spans="1:9" ht="13.8">
      <c r="C11" s="1130" t="s">
        <v>518</v>
      </c>
      <c r="D11" s="1130"/>
      <c r="E11" s="1130"/>
      <c r="F11" s="1130"/>
      <c r="G11" s="1130"/>
      <c r="I11" s="659"/>
    </row>
    <row r="12" spans="1:9" ht="14.4" thickBot="1">
      <c r="A12" s="654"/>
      <c r="B12" s="654"/>
      <c r="C12" s="1144" t="s">
        <v>519</v>
      </c>
      <c r="D12" s="1144"/>
      <c r="E12" s="1144"/>
      <c r="F12" s="1144"/>
      <c r="G12" s="1144"/>
      <c r="H12" s="654"/>
      <c r="I12" s="663">
        <v>79.755700000000004</v>
      </c>
    </row>
    <row r="13" spans="1:9" ht="13.8">
      <c r="C13" s="1130" t="s">
        <v>520</v>
      </c>
      <c r="D13" s="1130"/>
      <c r="E13" s="1130"/>
      <c r="F13" s="1130"/>
      <c r="G13" s="1130"/>
      <c r="I13" s="664">
        <v>6.7417999999999996</v>
      </c>
    </row>
    <row r="14" spans="1:9" ht="13.8">
      <c r="G14" s="662" t="s">
        <v>521</v>
      </c>
      <c r="I14" s="665" t="s">
        <v>522</v>
      </c>
    </row>
    <row r="15" spans="1:9" ht="14.4" thickBot="1">
      <c r="A15" s="654"/>
      <c r="B15" s="654"/>
      <c r="C15" s="654"/>
      <c r="D15" s="654"/>
      <c r="E15" s="654"/>
      <c r="F15" s="654"/>
      <c r="G15" s="660" t="s">
        <v>523</v>
      </c>
      <c r="H15" s="654"/>
      <c r="I15" s="663" t="s">
        <v>522</v>
      </c>
    </row>
    <row r="16" spans="1:9" ht="14.4" thickBot="1">
      <c r="A16" s="651" t="s">
        <v>524</v>
      </c>
      <c r="B16" s="654"/>
      <c r="C16" s="652" t="s">
        <v>504</v>
      </c>
      <c r="D16" s="652" t="s">
        <v>516</v>
      </c>
      <c r="E16" s="654"/>
      <c r="F16" s="652" t="s">
        <v>525</v>
      </c>
      <c r="G16" s="1144" t="s">
        <v>25</v>
      </c>
      <c r="H16" s="1144"/>
      <c r="I16" s="1144"/>
    </row>
    <row r="17" spans="1:9" ht="13.8">
      <c r="A17" s="655" t="s">
        <v>605</v>
      </c>
      <c r="B17" s="656" t="s">
        <v>606</v>
      </c>
      <c r="C17" s="657">
        <v>0.26577000000000001</v>
      </c>
      <c r="D17" s="655" t="s">
        <v>33</v>
      </c>
      <c r="F17" s="659">
        <v>12.516299999999999</v>
      </c>
      <c r="I17" s="659">
        <v>3.3264999999999998</v>
      </c>
    </row>
    <row r="18" spans="1:9" ht="13.8">
      <c r="A18" s="655" t="s">
        <v>607</v>
      </c>
      <c r="B18" s="656" t="s">
        <v>608</v>
      </c>
      <c r="C18" s="657">
        <v>1.3999999999999999E-4</v>
      </c>
      <c r="D18" s="655" t="s">
        <v>564</v>
      </c>
      <c r="F18" s="659">
        <v>505.14890000000003</v>
      </c>
      <c r="I18" s="659">
        <v>7.0699999999999999E-2</v>
      </c>
    </row>
    <row r="19" spans="1:9" ht="14.4" thickBot="1">
      <c r="A19" s="654"/>
      <c r="B19" s="654"/>
      <c r="C19" s="1144" t="s">
        <v>526</v>
      </c>
      <c r="D19" s="1144"/>
      <c r="E19" s="1144"/>
      <c r="F19" s="1144"/>
      <c r="G19" s="1144"/>
      <c r="H19" s="654"/>
      <c r="I19" s="661">
        <v>3.3972000000000002</v>
      </c>
    </row>
    <row r="20" spans="1:9" ht="14.4" thickBot="1">
      <c r="A20" s="651" t="s">
        <v>527</v>
      </c>
      <c r="B20" s="654"/>
      <c r="C20" s="652" t="s">
        <v>504</v>
      </c>
      <c r="D20" s="652" t="s">
        <v>516</v>
      </c>
      <c r="E20" s="654"/>
      <c r="F20" s="652" t="s">
        <v>25</v>
      </c>
      <c r="G20" s="1144" t="s">
        <v>25</v>
      </c>
      <c r="H20" s="1144"/>
      <c r="I20" s="1144"/>
    </row>
    <row r="21" spans="1:9" ht="14.4" thickBot="1">
      <c r="A21" s="654"/>
      <c r="B21" s="654"/>
      <c r="C21" s="1144" t="s">
        <v>528</v>
      </c>
      <c r="D21" s="1144"/>
      <c r="E21" s="1144"/>
      <c r="F21" s="1144"/>
      <c r="G21" s="1144"/>
      <c r="H21" s="654"/>
      <c r="I21" s="661"/>
    </row>
    <row r="22" spans="1:9" ht="14.4" thickBot="1">
      <c r="A22" s="654"/>
      <c r="B22" s="654"/>
      <c r="C22" s="654"/>
      <c r="D22" s="654"/>
      <c r="E22" s="654"/>
      <c r="F22" s="654"/>
      <c r="G22" s="660" t="s">
        <v>529</v>
      </c>
      <c r="H22" s="654"/>
      <c r="I22" s="663">
        <v>10.138999999999999</v>
      </c>
    </row>
    <row r="23" spans="1:9" ht="14.4" thickBot="1">
      <c r="A23" s="651" t="s">
        <v>530</v>
      </c>
      <c r="B23" s="654"/>
      <c r="C23" s="652" t="s">
        <v>531</v>
      </c>
      <c r="D23" s="652" t="s">
        <v>504</v>
      </c>
      <c r="E23" s="652" t="s">
        <v>516</v>
      </c>
      <c r="F23" s="654"/>
      <c r="G23" s="652" t="s">
        <v>25</v>
      </c>
      <c r="H23" s="1144" t="s">
        <v>25</v>
      </c>
      <c r="I23" s="1144"/>
    </row>
    <row r="24" spans="1:9" ht="13.8">
      <c r="A24" s="655" t="s">
        <v>605</v>
      </c>
      <c r="B24" s="656" t="s">
        <v>609</v>
      </c>
      <c r="C24" s="655" t="s">
        <v>560</v>
      </c>
      <c r="D24" s="657">
        <v>2.7E-4</v>
      </c>
      <c r="E24" s="655" t="s">
        <v>360</v>
      </c>
      <c r="G24" s="659">
        <v>32.5</v>
      </c>
      <c r="I24" s="659">
        <v>8.8000000000000005E-3</v>
      </c>
    </row>
    <row r="25" spans="1:9" ht="14.4" thickBot="1">
      <c r="A25" s="654"/>
      <c r="B25" s="654"/>
      <c r="C25" s="1144" t="s">
        <v>535</v>
      </c>
      <c r="D25" s="1144"/>
      <c r="E25" s="1144"/>
      <c r="F25" s="1144"/>
      <c r="G25" s="1144"/>
      <c r="H25" s="654"/>
      <c r="I25" s="663">
        <v>8.8000000000000005E-3</v>
      </c>
    </row>
    <row r="26" spans="1:9" ht="14.4" thickBot="1">
      <c r="A26" s="1145" t="s">
        <v>536</v>
      </c>
      <c r="B26" s="1145"/>
      <c r="C26" s="1146" t="s">
        <v>504</v>
      </c>
      <c r="D26" s="1146" t="s">
        <v>516</v>
      </c>
      <c r="E26" s="1146" t="s">
        <v>537</v>
      </c>
      <c r="F26" s="1146"/>
      <c r="G26" s="1146"/>
      <c r="I26" s="1144" t="s">
        <v>25</v>
      </c>
    </row>
    <row r="27" spans="1:9" ht="14.4" thickBot="1">
      <c r="A27" s="1145"/>
      <c r="B27" s="1145"/>
      <c r="C27" s="1146"/>
      <c r="D27" s="1146"/>
      <c r="E27" s="652" t="s">
        <v>538</v>
      </c>
      <c r="F27" s="652" t="s">
        <v>539</v>
      </c>
      <c r="G27" s="652" t="s">
        <v>540</v>
      </c>
      <c r="H27" s="654"/>
      <c r="I27" s="1144"/>
    </row>
    <row r="28" spans="1:9" ht="13.8">
      <c r="A28" s="1149" t="s">
        <v>605</v>
      </c>
      <c r="B28" s="1151" t="s">
        <v>609</v>
      </c>
      <c r="C28" s="1153">
        <v>2.7E-4</v>
      </c>
      <c r="D28" s="1141" t="s">
        <v>541</v>
      </c>
      <c r="E28" s="670" t="s">
        <v>561</v>
      </c>
      <c r="F28" s="670" t="s">
        <v>562</v>
      </c>
      <c r="G28" s="670" t="s">
        <v>563</v>
      </c>
      <c r="H28" s="670" t="s">
        <v>612</v>
      </c>
      <c r="I28" s="1161">
        <f>TRUNC(SUMPRODUCT(E29:G29,E30:G30)*C28,4)</f>
        <v>2.3599999999999999E-2</v>
      </c>
    </row>
    <row r="29" spans="1:9" ht="13.8">
      <c r="A29" s="1150"/>
      <c r="B29" s="1152"/>
      <c r="C29" s="1154"/>
      <c r="D29" s="1142"/>
      <c r="E29" s="671">
        <v>1.1200000000000001</v>
      </c>
      <c r="F29" s="671">
        <v>0.89</v>
      </c>
      <c r="G29" s="671">
        <v>0.73</v>
      </c>
      <c r="H29" s="671" t="s">
        <v>613</v>
      </c>
      <c r="I29" s="1162"/>
    </row>
    <row r="30" spans="1:9" ht="13.8">
      <c r="A30" s="1150"/>
      <c r="B30" s="1152"/>
      <c r="C30" s="1154"/>
      <c r="D30" s="1143"/>
      <c r="E30" s="672"/>
      <c r="F30" s="683">
        <f>DMT!E18</f>
        <v>0</v>
      </c>
      <c r="G30" s="683">
        <f>DMT!D18</f>
        <v>120</v>
      </c>
      <c r="H30" s="671" t="s">
        <v>537</v>
      </c>
      <c r="I30" s="1162"/>
    </row>
    <row r="31" spans="1:9" ht="13.8">
      <c r="C31" s="1130" t="s">
        <v>544</v>
      </c>
      <c r="D31" s="1130"/>
      <c r="E31" s="1130"/>
      <c r="F31" s="1130"/>
      <c r="G31" s="1130"/>
      <c r="I31" s="673">
        <f>I28</f>
        <v>2.3599999999999999E-2</v>
      </c>
    </row>
    <row r="32" spans="1:9" ht="13.8">
      <c r="C32" s="662"/>
      <c r="D32" s="662"/>
      <c r="E32" s="1130" t="s">
        <v>545</v>
      </c>
      <c r="F32" s="1130"/>
      <c r="G32" s="1130"/>
      <c r="I32" s="669">
        <f>TRUNC(SUM(I22,I25,I31),2)</f>
        <v>10.17</v>
      </c>
    </row>
    <row r="33" spans="1:9" ht="13.8">
      <c r="C33" s="662"/>
      <c r="D33" s="662"/>
      <c r="E33" s="1130" t="s">
        <v>610</v>
      </c>
      <c r="F33" s="1130"/>
      <c r="G33" s="1130"/>
      <c r="I33" s="669">
        <f>TRUNC(I32*0.2332,2)</f>
        <v>2.37</v>
      </c>
    </row>
    <row r="34" spans="1:9" ht="14.4" thickBot="1">
      <c r="A34" s="644"/>
      <c r="B34" s="644"/>
      <c r="C34" s="644"/>
      <c r="D34" s="644"/>
      <c r="E34" s="1131" t="s">
        <v>611</v>
      </c>
      <c r="F34" s="1131"/>
      <c r="G34" s="1131"/>
      <c r="H34" s="644"/>
      <c r="I34" s="666">
        <f>I32+I33</f>
        <v>12.54</v>
      </c>
    </row>
    <row r="35" spans="1:9" ht="13.8" thickTop="1"/>
  </sheetData>
  <mergeCells count="30">
    <mergeCell ref="A26:B27"/>
    <mergeCell ref="H23:I23"/>
    <mergeCell ref="B4:G4"/>
    <mergeCell ref="H4:I4"/>
    <mergeCell ref="A5:B6"/>
    <mergeCell ref="C5:C6"/>
    <mergeCell ref="D5:E5"/>
    <mergeCell ref="F5:G5"/>
    <mergeCell ref="E34:G34"/>
    <mergeCell ref="G10:I10"/>
    <mergeCell ref="C11:G11"/>
    <mergeCell ref="C12:G12"/>
    <mergeCell ref="C13:G13"/>
    <mergeCell ref="G16:I16"/>
    <mergeCell ref="C19:G19"/>
    <mergeCell ref="G20:I20"/>
    <mergeCell ref="C21:G21"/>
    <mergeCell ref="C25:G25"/>
    <mergeCell ref="C31:G31"/>
    <mergeCell ref="E32:G32"/>
    <mergeCell ref="A28:A30"/>
    <mergeCell ref="B28:B30"/>
    <mergeCell ref="C28:C30"/>
    <mergeCell ref="D28:D30"/>
    <mergeCell ref="I28:I30"/>
    <mergeCell ref="E33:G33"/>
    <mergeCell ref="C26:C27"/>
    <mergeCell ref="D26:D27"/>
    <mergeCell ref="E26:G26"/>
    <mergeCell ref="I26:I27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51348-E7AB-4F67-844F-15AD51A368E5}">
  <sheetPr>
    <tabColor theme="3" tint="-0.499984740745262"/>
    <pageSetUpPr fitToPage="1"/>
  </sheetPr>
  <dimension ref="A1:O19"/>
  <sheetViews>
    <sheetView showGridLines="0" view="pageBreakPreview" zoomScaleNormal="100" zoomScaleSheetLayoutView="100" workbookViewId="0">
      <selection activeCell="E23" sqref="E23"/>
    </sheetView>
  </sheetViews>
  <sheetFormatPr defaultColWidth="10.6640625" defaultRowHeight="15" customHeight="1"/>
  <cols>
    <col min="1" max="1" width="15.6640625" style="4" bestFit="1" customWidth="1"/>
    <col min="2" max="2" width="13.44140625" style="4" customWidth="1"/>
    <col min="3" max="3" width="43.44140625" style="4" bestFit="1" customWidth="1"/>
    <col min="4" max="4" width="9.21875" style="4" bestFit="1" customWidth="1"/>
    <col min="5" max="5" width="10.44140625" style="4" bestFit="1" customWidth="1"/>
    <col min="6" max="6" width="13.21875" style="4" customWidth="1"/>
    <col min="7" max="7" width="12.77734375" style="4" customWidth="1"/>
    <col min="8" max="8" width="24.5546875" style="4" customWidth="1"/>
    <col min="9" max="9" width="12.77734375" style="4" customWidth="1"/>
    <col min="10" max="10" width="12.88671875" style="4" bestFit="1" customWidth="1"/>
    <col min="11" max="11" width="10.6640625" style="4" bestFit="1" customWidth="1"/>
    <col min="12" max="12" width="13.5546875" style="4" bestFit="1" customWidth="1"/>
    <col min="13" max="13" width="10.6640625" style="4"/>
    <col min="14" max="14" width="15.88671875" style="4" bestFit="1" customWidth="1"/>
    <col min="15" max="15" width="11.6640625" style="4" bestFit="1" customWidth="1"/>
    <col min="16" max="16384" width="10.6640625" style="4"/>
  </cols>
  <sheetData>
    <row r="1" spans="1:15" ht="15" customHeight="1">
      <c r="A1" s="468"/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</row>
    <row r="2" spans="1:15" ht="15" customHeight="1">
      <c r="A2" s="471"/>
      <c r="B2" s="472" t="s">
        <v>648</v>
      </c>
      <c r="C2" s="473"/>
      <c r="D2" s="473"/>
      <c r="E2" s="473"/>
      <c r="F2" s="473"/>
      <c r="G2" s="473"/>
      <c r="H2" s="473"/>
      <c r="I2" s="473"/>
      <c r="J2" s="473"/>
      <c r="K2" s="473"/>
      <c r="L2" s="473"/>
    </row>
    <row r="3" spans="1:15" ht="15" customHeight="1">
      <c r="A3" s="475" t="s">
        <v>86</v>
      </c>
      <c r="B3" s="710" t="s">
        <v>179</v>
      </c>
      <c r="C3" s="710"/>
      <c r="D3" s="710"/>
      <c r="E3" s="710"/>
      <c r="F3" s="710"/>
      <c r="G3" s="710"/>
      <c r="H3" s="710"/>
      <c r="I3" s="710"/>
      <c r="J3" s="710"/>
      <c r="K3" s="710"/>
      <c r="L3" s="710"/>
    </row>
    <row r="4" spans="1:15" ht="11.4" customHeight="1">
      <c r="A4" s="476" t="s">
        <v>85</v>
      </c>
      <c r="B4" s="718" t="s">
        <v>180</v>
      </c>
      <c r="C4" s="718"/>
      <c r="D4" s="718"/>
      <c r="E4" s="718"/>
      <c r="F4" s="718"/>
      <c r="G4" s="718"/>
      <c r="H4" s="718"/>
      <c r="I4" s="718"/>
      <c r="J4" s="718"/>
      <c r="K4" s="718"/>
      <c r="L4" s="718"/>
    </row>
    <row r="5" spans="1:15" ht="11.4" customHeight="1">
      <c r="A5" s="478"/>
      <c r="B5" s="479"/>
      <c r="C5" s="477"/>
      <c r="D5" s="477"/>
      <c r="E5" s="477"/>
      <c r="F5" s="477"/>
      <c r="G5" s="477"/>
      <c r="H5" s="477"/>
      <c r="I5" s="477"/>
      <c r="J5" s="477"/>
      <c r="K5" s="477"/>
      <c r="L5" s="477"/>
    </row>
    <row r="6" spans="1:15" ht="15" customHeight="1" thickBot="1">
      <c r="A6" s="476" t="s">
        <v>125</v>
      </c>
      <c r="B6" s="675" t="s">
        <v>134</v>
      </c>
      <c r="C6" s="481"/>
      <c r="D6" s="481"/>
      <c r="E6" s="481"/>
      <c r="F6" s="481"/>
      <c r="G6" s="481"/>
      <c r="H6" s="481"/>
      <c r="I6" s="481"/>
      <c r="J6" s="481"/>
      <c r="K6" s="481"/>
      <c r="L6" s="481"/>
    </row>
    <row r="7" spans="1:15" ht="39.6" customHeight="1">
      <c r="A7" s="639" t="s">
        <v>616</v>
      </c>
      <c r="B7" s="637" t="s">
        <v>3</v>
      </c>
      <c r="C7" s="637" t="s">
        <v>13</v>
      </c>
      <c r="D7" s="676" t="s">
        <v>28</v>
      </c>
      <c r="E7" s="676" t="s">
        <v>37</v>
      </c>
      <c r="F7" s="676" t="s">
        <v>649</v>
      </c>
      <c r="G7" s="677" t="s">
        <v>650</v>
      </c>
      <c r="H7" s="677" t="s">
        <v>651</v>
      </c>
      <c r="I7" s="677" t="s">
        <v>652</v>
      </c>
      <c r="J7" s="677" t="s">
        <v>653</v>
      </c>
      <c r="K7" s="677" t="s">
        <v>656</v>
      </c>
      <c r="L7" s="677" t="s">
        <v>657</v>
      </c>
    </row>
    <row r="8" spans="1:15" ht="26.4">
      <c r="A8" s="678" t="s">
        <v>39</v>
      </c>
      <c r="B8" s="686" t="s">
        <v>654</v>
      </c>
      <c r="C8" s="681" t="s">
        <v>655</v>
      </c>
      <c r="D8" s="681" t="s">
        <v>327</v>
      </c>
      <c r="E8" s="642">
        <v>22.59</v>
      </c>
      <c r="F8" s="687">
        <v>45352</v>
      </c>
      <c r="G8" s="687">
        <v>44927</v>
      </c>
      <c r="H8" s="682" t="s">
        <v>658</v>
      </c>
      <c r="I8" s="682">
        <v>470.72399999999999</v>
      </c>
      <c r="J8" s="682">
        <v>467.53399999999999</v>
      </c>
      <c r="K8" s="688">
        <f t="shared" ref="K8:K15" si="0">J8/I8</f>
        <v>0.99322320510532713</v>
      </c>
      <c r="L8" s="642">
        <f t="shared" ref="L8:L15" si="1">TRUNC(K8*E8,2)</f>
        <v>22.43</v>
      </c>
    </row>
    <row r="9" spans="1:15" ht="118.8">
      <c r="A9" s="678" t="s">
        <v>39</v>
      </c>
      <c r="B9" s="640" t="s">
        <v>664</v>
      </c>
      <c r="C9" s="681" t="s">
        <v>663</v>
      </c>
      <c r="D9" s="681" t="s">
        <v>6</v>
      </c>
      <c r="E9" s="642">
        <v>546.29999999999995</v>
      </c>
      <c r="F9" s="687">
        <v>45352</v>
      </c>
      <c r="G9" s="687">
        <v>44927</v>
      </c>
      <c r="H9" s="682" t="s">
        <v>665</v>
      </c>
      <c r="I9" s="682">
        <v>1095.7380000000001</v>
      </c>
      <c r="J9" s="682">
        <v>1056.4179999999999</v>
      </c>
      <c r="K9" s="688">
        <f t="shared" si="0"/>
        <v>0.96411550936446466</v>
      </c>
      <c r="L9" s="642">
        <f t="shared" si="1"/>
        <v>526.69000000000005</v>
      </c>
    </row>
    <row r="10" spans="1:15" ht="66">
      <c r="A10" s="678" t="s">
        <v>39</v>
      </c>
      <c r="B10" s="640" t="s">
        <v>361</v>
      </c>
      <c r="C10" s="681" t="s">
        <v>666</v>
      </c>
      <c r="D10" s="681" t="s">
        <v>667</v>
      </c>
      <c r="E10" s="642">
        <v>8.93</v>
      </c>
      <c r="F10" s="687">
        <v>45352</v>
      </c>
      <c r="G10" s="687">
        <v>44927</v>
      </c>
      <c r="H10" s="682" t="s">
        <v>665</v>
      </c>
      <c r="I10" s="682">
        <v>1095.7380000000001</v>
      </c>
      <c r="J10" s="682">
        <v>1056.4179999999999</v>
      </c>
      <c r="K10" s="688">
        <f t="shared" si="0"/>
        <v>0.96411550936446466</v>
      </c>
      <c r="L10" s="642">
        <f t="shared" si="1"/>
        <v>8.6</v>
      </c>
    </row>
    <row r="11" spans="1:15" ht="118.8">
      <c r="A11" s="678" t="s">
        <v>39</v>
      </c>
      <c r="B11" s="640" t="s">
        <v>478</v>
      </c>
      <c r="C11" s="681" t="s">
        <v>671</v>
      </c>
      <c r="D11" s="681" t="s">
        <v>364</v>
      </c>
      <c r="E11" s="642">
        <v>174.76</v>
      </c>
      <c r="F11" s="687">
        <v>45352</v>
      </c>
      <c r="G11" s="687">
        <v>44927</v>
      </c>
      <c r="H11" s="682" t="s">
        <v>672</v>
      </c>
      <c r="I11" s="682">
        <v>289.85700000000003</v>
      </c>
      <c r="J11" s="682">
        <v>276.13299999999998</v>
      </c>
      <c r="K11" s="688">
        <f t="shared" si="0"/>
        <v>0.95265251486077607</v>
      </c>
      <c r="L11" s="642">
        <f t="shared" si="1"/>
        <v>166.48</v>
      </c>
    </row>
    <row r="12" spans="1:15" ht="66">
      <c r="A12" s="678" t="s">
        <v>39</v>
      </c>
      <c r="B12" s="640" t="s">
        <v>209</v>
      </c>
      <c r="C12" s="681" t="s">
        <v>673</v>
      </c>
      <c r="D12" s="681" t="s">
        <v>33</v>
      </c>
      <c r="E12" s="642">
        <v>3.25</v>
      </c>
      <c r="F12" s="687">
        <v>45352</v>
      </c>
      <c r="G12" s="687">
        <v>44927</v>
      </c>
      <c r="H12" s="682" t="s">
        <v>658</v>
      </c>
      <c r="I12" s="682">
        <v>470.72399999999999</v>
      </c>
      <c r="J12" s="682">
        <v>467.53399999999999</v>
      </c>
      <c r="K12" s="688">
        <f t="shared" si="0"/>
        <v>0.99322320510532713</v>
      </c>
      <c r="L12" s="642">
        <f t="shared" si="1"/>
        <v>3.22</v>
      </c>
      <c r="N12"/>
    </row>
    <row r="13" spans="1:15" ht="52.8">
      <c r="A13" s="678" t="s">
        <v>39</v>
      </c>
      <c r="B13" s="640" t="s">
        <v>211</v>
      </c>
      <c r="C13" s="681" t="s">
        <v>675</v>
      </c>
      <c r="D13" s="681" t="s">
        <v>6</v>
      </c>
      <c r="E13" s="642">
        <v>13.85</v>
      </c>
      <c r="F13" s="687">
        <v>45352</v>
      </c>
      <c r="G13" s="687">
        <v>44927</v>
      </c>
      <c r="H13" s="682" t="s">
        <v>658</v>
      </c>
      <c r="I13" s="682">
        <v>470.72399999999999</v>
      </c>
      <c r="J13" s="682">
        <v>467.53399999999999</v>
      </c>
      <c r="K13" s="688">
        <f t="shared" si="0"/>
        <v>0.99322320510532713</v>
      </c>
      <c r="L13" s="642">
        <f t="shared" si="1"/>
        <v>13.75</v>
      </c>
      <c r="O13"/>
    </row>
    <row r="14" spans="1:15" ht="26.4">
      <c r="A14" s="678" t="s">
        <v>678</v>
      </c>
      <c r="B14" s="640" t="s">
        <v>677</v>
      </c>
      <c r="C14" s="681" t="s">
        <v>676</v>
      </c>
      <c r="D14" s="681" t="s">
        <v>6</v>
      </c>
      <c r="E14" s="642">
        <v>30.45</v>
      </c>
      <c r="F14" s="687">
        <v>45413</v>
      </c>
      <c r="G14" s="687">
        <v>44927</v>
      </c>
      <c r="H14" s="682" t="s">
        <v>658</v>
      </c>
      <c r="I14" s="682">
        <v>471.476</v>
      </c>
      <c r="J14" s="682">
        <v>467.53399999999999</v>
      </c>
      <c r="K14" s="688">
        <f t="shared" si="0"/>
        <v>0.99163902298314233</v>
      </c>
      <c r="L14" s="642">
        <f t="shared" si="1"/>
        <v>30.19</v>
      </c>
    </row>
    <row r="15" spans="1:15" ht="39.6">
      <c r="A15" s="678" t="s">
        <v>39</v>
      </c>
      <c r="B15" s="640" t="s">
        <v>181</v>
      </c>
      <c r="C15" s="681" t="s">
        <v>679</v>
      </c>
      <c r="D15" s="681" t="s">
        <v>680</v>
      </c>
      <c r="E15" s="642">
        <v>3.09</v>
      </c>
      <c r="F15" s="687">
        <v>45352</v>
      </c>
      <c r="G15" s="687">
        <v>44927</v>
      </c>
      <c r="H15" s="682" t="s">
        <v>658</v>
      </c>
      <c r="I15" s="682">
        <v>470.72399999999999</v>
      </c>
      <c r="J15" s="682">
        <v>467.53399999999999</v>
      </c>
      <c r="K15" s="688">
        <f t="shared" si="0"/>
        <v>0.99322320510532713</v>
      </c>
      <c r="L15" s="642">
        <f t="shared" si="1"/>
        <v>3.06</v>
      </c>
    </row>
    <row r="16" spans="1:15" ht="13.2">
      <c r="A16" s="641"/>
      <c r="B16" s="640"/>
      <c r="C16" s="681"/>
      <c r="D16" s="681"/>
      <c r="E16" s="681"/>
      <c r="F16" s="682"/>
      <c r="G16" s="682"/>
      <c r="H16" s="682"/>
      <c r="I16" s="682"/>
      <c r="J16" s="682"/>
      <c r="K16" s="682"/>
      <c r="L16" s="682"/>
    </row>
    <row r="17" spans="1:13" ht="13.2">
      <c r="A17" s="728" t="s">
        <v>674</v>
      </c>
      <c r="B17" s="729"/>
      <c r="C17" s="729"/>
      <c r="D17" s="729"/>
      <c r="E17" s="729"/>
      <c r="F17" s="729"/>
      <c r="G17" s="729"/>
      <c r="H17" s="729"/>
      <c r="I17" s="729"/>
      <c r="J17" s="729"/>
      <c r="K17" s="729"/>
      <c r="L17" s="730"/>
    </row>
    <row r="18" spans="1:13" ht="15" customHeight="1"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1:13" ht="15" customHeight="1"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</sheetData>
  <mergeCells count="3">
    <mergeCell ref="A17:L17"/>
    <mergeCell ref="B3:L3"/>
    <mergeCell ref="B4:L4"/>
  </mergeCells>
  <printOptions horizontalCentered="1"/>
  <pageMargins left="0.59055118110236227" right="0.59055118110236227" top="0.98425196850393704" bottom="0.59055118110236227" header="0" footer="0"/>
  <pageSetup paperSize="9" scale="3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14999847407452621"/>
    <pageSetUpPr fitToPage="1"/>
  </sheetPr>
  <dimension ref="A1:AR127"/>
  <sheetViews>
    <sheetView showGridLines="0" tabSelected="1" view="pageBreakPreview" topLeftCell="A94" zoomScale="85" zoomScaleNormal="85" zoomScaleSheetLayoutView="85" workbookViewId="0">
      <selection activeCell="I121" sqref="I121"/>
    </sheetView>
  </sheetViews>
  <sheetFormatPr defaultColWidth="10.6640625" defaultRowHeight="15" customHeight="1"/>
  <cols>
    <col min="1" max="1" width="8" style="4" bestFit="1" customWidth="1"/>
    <col min="2" max="2" width="14.33203125" style="4" bestFit="1" customWidth="1"/>
    <col min="3" max="3" width="11.88671875" style="4" customWidth="1"/>
    <col min="4" max="4" width="96.33203125" style="7" customWidth="1"/>
    <col min="5" max="5" width="11.109375" style="4" bestFit="1" customWidth="1"/>
    <col min="6" max="6" width="15.33203125" style="8" bestFit="1" customWidth="1"/>
    <col min="7" max="7" width="15.33203125" style="8" hidden="1" customWidth="1"/>
    <col min="8" max="8" width="15.6640625" style="9" customWidth="1"/>
    <col min="9" max="9" width="23.88671875" style="9" customWidth="1"/>
    <col min="10" max="10" width="15.109375" style="10" customWidth="1"/>
    <col min="11" max="11" width="11.44140625" style="4" customWidth="1"/>
    <col min="12" max="12" width="14.6640625" style="4" bestFit="1" customWidth="1"/>
    <col min="13" max="13" width="13.5546875" style="4" bestFit="1" customWidth="1"/>
    <col min="14" max="14" width="12.44140625" style="4" bestFit="1" customWidth="1"/>
    <col min="15" max="15" width="10.6640625" style="4" bestFit="1" customWidth="1"/>
    <col min="16" max="16384" width="10.6640625" style="4"/>
  </cols>
  <sheetData>
    <row r="1" spans="1:44" s="29" customFormat="1" ht="13.2">
      <c r="A1" s="490"/>
      <c r="B1" s="491"/>
      <c r="C1" s="491"/>
      <c r="D1" s="492"/>
      <c r="E1" s="492"/>
      <c r="F1" s="492"/>
      <c r="G1" s="493"/>
      <c r="H1" s="492"/>
      <c r="I1" s="494"/>
      <c r="J1" s="1"/>
    </row>
    <row r="2" spans="1:44" s="29" customFormat="1" ht="13.2">
      <c r="A2" s="495"/>
      <c r="G2" s="30"/>
      <c r="H2" s="31" t="s">
        <v>0</v>
      </c>
      <c r="I2" s="496" t="s">
        <v>124</v>
      </c>
      <c r="J2" s="1"/>
    </row>
    <row r="3" spans="1:44" s="29" customFormat="1" ht="17.399999999999999">
      <c r="A3" s="495"/>
      <c r="B3" s="497"/>
      <c r="C3" s="498" t="s">
        <v>21</v>
      </c>
      <c r="E3" s="45" t="s">
        <v>87</v>
      </c>
      <c r="F3" s="80">
        <v>45393</v>
      </c>
      <c r="G3" s="32"/>
      <c r="H3" s="160" t="s">
        <v>402</v>
      </c>
      <c r="I3" s="499" t="s">
        <v>394</v>
      </c>
      <c r="J3" s="1"/>
    </row>
    <row r="4" spans="1:44" s="29" customFormat="1" ht="15" customHeight="1">
      <c r="A4" s="495"/>
      <c r="E4" s="32" t="s">
        <v>614</v>
      </c>
      <c r="F4" s="674">
        <v>45468</v>
      </c>
      <c r="G4" s="32"/>
      <c r="H4" s="160" t="s">
        <v>402</v>
      </c>
      <c r="I4" s="499" t="s">
        <v>395</v>
      </c>
      <c r="J4" s="1"/>
    </row>
    <row r="5" spans="1:44" s="29" customFormat="1" ht="15" customHeight="1">
      <c r="A5" s="747" t="s">
        <v>86</v>
      </c>
      <c r="B5" s="748"/>
      <c r="C5" s="500" t="str">
        <f>RESUMO!B3</f>
        <v>O.A.E. PONTE - 71,10 m</v>
      </c>
      <c r="E5" s="32"/>
      <c r="F5" s="33"/>
      <c r="G5" s="32"/>
      <c r="H5" s="160" t="s">
        <v>402</v>
      </c>
      <c r="I5" s="499" t="s">
        <v>155</v>
      </c>
      <c r="J5" s="1"/>
    </row>
    <row r="6" spans="1:44" s="29" customFormat="1" ht="13.2" customHeight="1">
      <c r="A6" s="501" t="s">
        <v>85</v>
      </c>
      <c r="B6" s="481"/>
      <c r="C6" s="749" t="str">
        <f>RESUMO!B4</f>
        <v>PONTE SOBRE O RIO SANTA MARIA DO RIO DOCE, SÃO ROQUE DO CANAÃ-ES</v>
      </c>
      <c r="D6" s="750"/>
      <c r="E6" s="32"/>
      <c r="F6" s="33"/>
      <c r="G6" s="32"/>
      <c r="H6" s="160" t="s">
        <v>402</v>
      </c>
      <c r="I6" s="499" t="s">
        <v>39</v>
      </c>
      <c r="J6" s="1"/>
    </row>
    <row r="7" spans="1:44" s="29" customFormat="1" ht="13.2" customHeight="1">
      <c r="A7" s="495"/>
      <c r="C7" s="500"/>
      <c r="E7" s="32"/>
      <c r="F7" s="33"/>
      <c r="G7" s="32"/>
      <c r="H7" s="160" t="s">
        <v>402</v>
      </c>
      <c r="I7" s="502" t="s">
        <v>222</v>
      </c>
      <c r="J7" s="1"/>
    </row>
    <row r="8" spans="1:44" s="29" customFormat="1" ht="13.2" customHeight="1">
      <c r="A8" s="751" t="str">
        <f>RESUMO!A6</f>
        <v xml:space="preserve">ORÇAMENTISTA: </v>
      </c>
      <c r="B8" s="752"/>
      <c r="C8" s="745" t="str">
        <f>RESUMO!B6</f>
        <v>Luiz Araujo de Souza Junior  - CREA: RJ-2021102768/D - Visto 20210452/ES</v>
      </c>
      <c r="D8" s="746"/>
      <c r="E8" s="256" t="s">
        <v>1</v>
      </c>
      <c r="F8" s="154">
        <f>BDI!D33</f>
        <v>0.23316766855441284</v>
      </c>
      <c r="G8" s="32"/>
      <c r="H8" s="34"/>
      <c r="I8" s="499"/>
      <c r="J8" s="740" t="s">
        <v>137</v>
      </c>
      <c r="K8" s="740"/>
      <c r="L8" s="740"/>
      <c r="M8" s="741"/>
    </row>
    <row r="9" spans="1:44" s="36" customFormat="1" ht="15" customHeight="1">
      <c r="A9" s="753" t="s">
        <v>2</v>
      </c>
      <c r="B9" s="734" t="s">
        <v>3</v>
      </c>
      <c r="C9" s="734" t="s">
        <v>4</v>
      </c>
      <c r="D9" s="734" t="s">
        <v>5</v>
      </c>
      <c r="E9" s="734" t="s">
        <v>28</v>
      </c>
      <c r="F9" s="734" t="s">
        <v>11</v>
      </c>
      <c r="G9" s="734" t="s">
        <v>84</v>
      </c>
      <c r="H9" s="734" t="s">
        <v>30</v>
      </c>
      <c r="I9" s="743" t="s">
        <v>145</v>
      </c>
      <c r="J9" s="742" t="s">
        <v>25</v>
      </c>
      <c r="K9" s="742"/>
      <c r="L9" s="742"/>
      <c r="M9" s="742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s="36" customFormat="1" ht="15" customHeight="1" thickBot="1">
      <c r="A10" s="754"/>
      <c r="B10" s="727"/>
      <c r="C10" s="727"/>
      <c r="D10" s="727"/>
      <c r="E10" s="727"/>
      <c r="F10" s="727"/>
      <c r="G10" s="727"/>
      <c r="H10" s="727" t="s">
        <v>29</v>
      </c>
      <c r="I10" s="744" t="s">
        <v>10</v>
      </c>
      <c r="J10" s="489" t="s">
        <v>135</v>
      </c>
      <c r="K10" s="28" t="s">
        <v>27</v>
      </c>
      <c r="L10" s="41" t="s">
        <v>136</v>
      </c>
      <c r="M10" s="41" t="s">
        <v>138</v>
      </c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s="36" customFormat="1" ht="15" customHeight="1" thickBot="1">
      <c r="A11" s="321" t="s">
        <v>75</v>
      </c>
      <c r="B11" s="322"/>
      <c r="C11" s="322"/>
      <c r="D11" s="323" t="s">
        <v>477</v>
      </c>
      <c r="E11" s="322"/>
      <c r="F11" s="322"/>
      <c r="G11" s="322"/>
      <c r="H11" s="322"/>
      <c r="I11" s="324">
        <f>SUM(I12:I13)</f>
        <v>287701.69712894002</v>
      </c>
      <c r="J11" s="313"/>
      <c r="K11" s="270"/>
      <c r="L11" s="313"/>
      <c r="M11" s="313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s="36" customFormat="1" ht="13.2">
      <c r="A12" s="333" t="s">
        <v>76</v>
      </c>
      <c r="B12" s="1168" t="str">
        <f>REAJUSTE!B11</f>
        <v>01.050.0232-0</v>
      </c>
      <c r="C12" s="334" t="str">
        <f>REAJUSTE!A11</f>
        <v>EMOP</v>
      </c>
      <c r="D12" s="1167" t="str">
        <f>REAJUSTE!C11</f>
        <v>PROJETO ESTRUTURAL FINAL DE ENGENHARIA DE OBRAS-DE-ARTE ESPECIAIS (PONTES,VIADUTOS E PASSARELAS) EM CONCRETO ARMADO E/OU PROTENDIDO OU ESTRUTURA DE ACO,COM AREA DE PROJECAO HORIZONTAL DE 501 ATE 5.000M2,APRESENTADO NOS PADROES DA CONTRATANTEObservacao: 9% - DESPESAS ADMINISTRATIVAS E DE MATERIAIS</v>
      </c>
      <c r="E12" s="1169" t="str">
        <f>REAJUSTE!D11</f>
        <v>M2</v>
      </c>
      <c r="F12" s="336">
        <f>'MEMÓRIA DE CALCULO'!U9</f>
        <v>803.43</v>
      </c>
      <c r="G12" s="335"/>
      <c r="H12" s="337">
        <f>J12</f>
        <v>205.29775346093862</v>
      </c>
      <c r="I12" s="338">
        <f>H12*F12</f>
        <v>164942.37406312191</v>
      </c>
      <c r="J12" s="315">
        <f t="shared" ref="J12:J13" si="0">L12+(L12*K12)</f>
        <v>205.29775346093862</v>
      </c>
      <c r="K12" s="105">
        <f>$F$8</f>
        <v>0.23316766855441284</v>
      </c>
      <c r="L12" s="317">
        <f>REAJUSTE!L11</f>
        <v>166.48</v>
      </c>
      <c r="M12" s="313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36" customFormat="1" ht="15" customHeight="1" thickBot="1">
      <c r="A13" s="339" t="s">
        <v>126</v>
      </c>
      <c r="B13" s="739" t="s">
        <v>483</v>
      </c>
      <c r="C13" s="739"/>
      <c r="D13" s="340" t="s">
        <v>480</v>
      </c>
      <c r="E13" s="341" t="s">
        <v>182</v>
      </c>
      <c r="F13" s="342">
        <f>'MEMÓRIA DE CALCULO'!U12</f>
        <v>2</v>
      </c>
      <c r="G13" s="341"/>
      <c r="H13" s="343">
        <f>J13</f>
        <v>61379.661532909071</v>
      </c>
      <c r="I13" s="344">
        <f>H13*F13</f>
        <v>122759.32306581814</v>
      </c>
      <c r="J13" s="315">
        <f t="shared" si="0"/>
        <v>61379.661532909071</v>
      </c>
      <c r="K13" s="105">
        <f>$F$8</f>
        <v>0.23316766855441284</v>
      </c>
      <c r="L13" s="317">
        <f>COMP_06!L32</f>
        <v>49773.978914693485</v>
      </c>
      <c r="M13" s="313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</row>
    <row r="14" spans="1:44" s="2" customFormat="1" ht="15" customHeight="1" thickBot="1">
      <c r="A14" s="321" t="s">
        <v>411</v>
      </c>
      <c r="B14" s="349"/>
      <c r="C14" s="349"/>
      <c r="D14" s="350" t="s">
        <v>208</v>
      </c>
      <c r="E14" s="349"/>
      <c r="F14" s="349"/>
      <c r="G14" s="349"/>
      <c r="H14" s="349"/>
      <c r="I14" s="324">
        <f>SUM(I15:I34)</f>
        <v>561941.80781318434</v>
      </c>
      <c r="J14" s="325"/>
      <c r="K14" s="89"/>
      <c r="L14" s="88"/>
      <c r="M14" s="37"/>
      <c r="N14" s="38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</row>
    <row r="15" spans="1:44" s="35" customFormat="1" ht="13.2">
      <c r="A15" s="333" t="s">
        <v>77</v>
      </c>
      <c r="B15" s="433">
        <v>40167</v>
      </c>
      <c r="C15" s="351" t="s">
        <v>394</v>
      </c>
      <c r="D15" s="352" t="s">
        <v>184</v>
      </c>
      <c r="E15" s="353" t="s">
        <v>7</v>
      </c>
      <c r="F15" s="354">
        <f>'MEMÓRIA DE CALCULO'!U16</f>
        <v>682.5</v>
      </c>
      <c r="G15" s="355"/>
      <c r="H15" s="356">
        <f t="shared" ref="H15:H34" si="1">J15</f>
        <v>0.86997719075765412</v>
      </c>
      <c r="I15" s="357">
        <f t="shared" ref="I15:I34" si="2">H15*F15</f>
        <v>593.75943269209893</v>
      </c>
      <c r="J15" s="315">
        <f>L15+(L15*K15)</f>
        <v>0.86997719075765412</v>
      </c>
      <c r="K15" s="105">
        <f>$F$8</f>
        <v>0.23316766855441284</v>
      </c>
      <c r="L15" s="145">
        <f t="shared" ref="L15:L34" si="3">M15/(1+0.2332)</f>
        <v>0.70548167369445336</v>
      </c>
      <c r="M15" s="134">
        <v>0.87</v>
      </c>
      <c r="N15" s="106"/>
    </row>
    <row r="16" spans="1:44" s="35" customFormat="1" ht="15" customHeight="1">
      <c r="A16" s="358" t="s">
        <v>81</v>
      </c>
      <c r="B16" s="107">
        <v>42201</v>
      </c>
      <c r="C16" s="102" t="s">
        <v>394</v>
      </c>
      <c r="D16" s="126" t="s">
        <v>185</v>
      </c>
      <c r="E16" s="104" t="s">
        <v>7</v>
      </c>
      <c r="F16" s="155">
        <f>'MEMÓRIA DE CALCULO'!U19</f>
        <v>682.5</v>
      </c>
      <c r="G16" s="156"/>
      <c r="H16" s="204">
        <f t="shared" si="1"/>
        <v>8.9097664018973557</v>
      </c>
      <c r="I16" s="359">
        <f t="shared" si="2"/>
        <v>6080.9155692949453</v>
      </c>
      <c r="J16" s="315">
        <f t="shared" ref="J16:J34" si="4">L16+(L16*K16)</f>
        <v>8.9097664018973557</v>
      </c>
      <c r="K16" s="105">
        <f t="shared" ref="K16:K80" si="5">$F$8</f>
        <v>0.23316766855441284</v>
      </c>
      <c r="L16" s="145">
        <f t="shared" si="3"/>
        <v>7.2251054168018163</v>
      </c>
      <c r="M16" s="148">
        <v>8.91</v>
      </c>
      <c r="N16" s="106"/>
    </row>
    <row r="17" spans="1:44" s="35" customFormat="1" ht="26.4">
      <c r="A17" s="358" t="s">
        <v>78</v>
      </c>
      <c r="B17" s="107">
        <v>41578</v>
      </c>
      <c r="C17" s="102" t="s">
        <v>394</v>
      </c>
      <c r="D17" s="126" t="s">
        <v>186</v>
      </c>
      <c r="E17" s="149" t="s">
        <v>187</v>
      </c>
      <c r="F17" s="155">
        <v>16</v>
      </c>
      <c r="G17" s="156"/>
      <c r="H17" s="204">
        <f t="shared" si="1"/>
        <v>1219.5980243261583</v>
      </c>
      <c r="I17" s="359">
        <f t="shared" si="2"/>
        <v>19513.568389218533</v>
      </c>
      <c r="J17" s="315">
        <f t="shared" si="4"/>
        <v>1219.5980243261583</v>
      </c>
      <c r="K17" s="105">
        <f t="shared" si="5"/>
        <v>0.23316766855441284</v>
      </c>
      <c r="L17" s="145">
        <f t="shared" si="3"/>
        <v>988.99610768731759</v>
      </c>
      <c r="M17" s="150">
        <v>1219.6300000000001</v>
      </c>
      <c r="N17" s="106"/>
    </row>
    <row r="18" spans="1:44" s="35" customFormat="1" ht="13.2">
      <c r="A18" s="358" t="s">
        <v>412</v>
      </c>
      <c r="B18" s="107">
        <v>41579</v>
      </c>
      <c r="C18" s="102" t="s">
        <v>394</v>
      </c>
      <c r="D18" s="126" t="s">
        <v>188</v>
      </c>
      <c r="E18" s="149" t="s">
        <v>187</v>
      </c>
      <c r="F18" s="155">
        <v>32</v>
      </c>
      <c r="G18" s="156"/>
      <c r="H18" s="204">
        <f t="shared" si="1"/>
        <v>819.12852391854301</v>
      </c>
      <c r="I18" s="359">
        <f t="shared" si="2"/>
        <v>26212.112765393376</v>
      </c>
      <c r="J18" s="315">
        <f t="shared" si="4"/>
        <v>819.12852391854301</v>
      </c>
      <c r="K18" s="105">
        <f t="shared" si="5"/>
        <v>0.23316766855441284</v>
      </c>
      <c r="L18" s="145">
        <f t="shared" si="3"/>
        <v>664.24748621472588</v>
      </c>
      <c r="M18" s="148">
        <v>819.15</v>
      </c>
      <c r="N18" s="106"/>
    </row>
    <row r="19" spans="1:44" s="35" customFormat="1" ht="26.4">
      <c r="A19" s="358" t="s">
        <v>413</v>
      </c>
      <c r="B19" s="107">
        <v>41455</v>
      </c>
      <c r="C19" s="102" t="s">
        <v>394</v>
      </c>
      <c r="D19" s="126" t="s">
        <v>189</v>
      </c>
      <c r="E19" s="149" t="s">
        <v>187</v>
      </c>
      <c r="F19" s="155">
        <f>'MEMÓRIA DE CALCULO'!U29</f>
        <v>16</v>
      </c>
      <c r="G19" s="156"/>
      <c r="H19" s="204">
        <f t="shared" si="1"/>
        <v>2199.3523369244735</v>
      </c>
      <c r="I19" s="359">
        <f t="shared" si="2"/>
        <v>35189.637390791577</v>
      </c>
      <c r="J19" s="315">
        <f t="shared" si="4"/>
        <v>2199.3523369244735</v>
      </c>
      <c r="K19" s="105">
        <f t="shared" si="5"/>
        <v>0.23316766855441284</v>
      </c>
      <c r="L19" s="145">
        <f t="shared" si="3"/>
        <v>1783.4982160233537</v>
      </c>
      <c r="M19" s="151">
        <v>2199.41</v>
      </c>
      <c r="N19" s="106"/>
    </row>
    <row r="20" spans="1:44" s="35" customFormat="1" ht="13.2">
      <c r="A20" s="358" t="s">
        <v>414</v>
      </c>
      <c r="B20" s="107">
        <v>41454</v>
      </c>
      <c r="C20" s="102" t="s">
        <v>394</v>
      </c>
      <c r="D20" s="126" t="s">
        <v>190</v>
      </c>
      <c r="E20" s="149" t="s">
        <v>187</v>
      </c>
      <c r="F20" s="155">
        <f>'MEMÓRIA DE CALCULO'!U32</f>
        <v>16</v>
      </c>
      <c r="G20" s="156"/>
      <c r="H20" s="204">
        <f t="shared" si="1"/>
        <v>916.64596718599864</v>
      </c>
      <c r="I20" s="359">
        <f t="shared" si="2"/>
        <v>14666.335474975978</v>
      </c>
      <c r="J20" s="315">
        <f t="shared" si="4"/>
        <v>916.64596718599864</v>
      </c>
      <c r="K20" s="105">
        <f t="shared" si="5"/>
        <v>0.23316766855441284</v>
      </c>
      <c r="L20" s="145">
        <f t="shared" si="3"/>
        <v>743.32630554654554</v>
      </c>
      <c r="M20" s="146">
        <v>916.67</v>
      </c>
      <c r="N20" s="106"/>
    </row>
    <row r="21" spans="1:44" s="35" customFormat="1" ht="26.4">
      <c r="A21" s="358" t="s">
        <v>415</v>
      </c>
      <c r="B21" s="107">
        <v>41580</v>
      </c>
      <c r="C21" s="102" t="s">
        <v>394</v>
      </c>
      <c r="D21" s="126" t="s">
        <v>191</v>
      </c>
      <c r="E21" s="149" t="s">
        <v>187</v>
      </c>
      <c r="F21" s="155">
        <f>'MEMÓRIA DE CALCULO'!U35</f>
        <v>16</v>
      </c>
      <c r="G21" s="156"/>
      <c r="H21" s="204">
        <f t="shared" si="1"/>
        <v>1145.6099641604585</v>
      </c>
      <c r="I21" s="359">
        <f t="shared" si="2"/>
        <v>18329.759426567336</v>
      </c>
      <c r="J21" s="315">
        <f t="shared" si="4"/>
        <v>1145.6099641604585</v>
      </c>
      <c r="K21" s="105">
        <f t="shared" si="5"/>
        <v>0.23316766855441284</v>
      </c>
      <c r="L21" s="145">
        <f t="shared" si="3"/>
        <v>928.99772948426858</v>
      </c>
      <c r="M21" s="151">
        <v>1145.6400000000001</v>
      </c>
      <c r="N21" s="106"/>
    </row>
    <row r="22" spans="1:44" s="35" customFormat="1" ht="26.4">
      <c r="A22" s="358" t="s">
        <v>416</v>
      </c>
      <c r="B22" s="107">
        <v>41531</v>
      </c>
      <c r="C22" s="102" t="s">
        <v>394</v>
      </c>
      <c r="D22" s="126" t="s">
        <v>192</v>
      </c>
      <c r="E22" s="104" t="s">
        <v>7</v>
      </c>
      <c r="F22" s="155">
        <f>'MEMÓRIA DE CALCULO'!U38</f>
        <v>215</v>
      </c>
      <c r="G22" s="156"/>
      <c r="H22" s="204">
        <f t="shared" si="1"/>
        <v>760.06007258744569</v>
      </c>
      <c r="I22" s="359">
        <f t="shared" si="2"/>
        <v>163412.91560630081</v>
      </c>
      <c r="J22" s="315">
        <f t="shared" si="4"/>
        <v>760.06007258744569</v>
      </c>
      <c r="K22" s="105">
        <f t="shared" si="5"/>
        <v>0.23316766855441284</v>
      </c>
      <c r="L22" s="145">
        <f t="shared" si="3"/>
        <v>616.34771326629902</v>
      </c>
      <c r="M22" s="134">
        <v>760.08</v>
      </c>
      <c r="N22" s="106"/>
    </row>
    <row r="23" spans="1:44" s="35" customFormat="1" ht="26.4">
      <c r="A23" s="358" t="s">
        <v>417</v>
      </c>
      <c r="B23" s="107">
        <v>41528</v>
      </c>
      <c r="C23" s="102" t="s">
        <v>394</v>
      </c>
      <c r="D23" s="126" t="s">
        <v>193</v>
      </c>
      <c r="E23" s="104" t="s">
        <v>7</v>
      </c>
      <c r="F23" s="155">
        <f>'MEMÓRIA DE CALCULO'!U46</f>
        <v>70</v>
      </c>
      <c r="G23" s="156"/>
      <c r="H23" s="204">
        <f t="shared" si="1"/>
        <v>384.39992172316079</v>
      </c>
      <c r="I23" s="359">
        <f t="shared" si="2"/>
        <v>26907.994520621254</v>
      </c>
      <c r="J23" s="315">
        <f t="shared" si="4"/>
        <v>384.39992172316079</v>
      </c>
      <c r="K23" s="105">
        <f t="shared" si="5"/>
        <v>0.23316766855441284</v>
      </c>
      <c r="L23" s="145">
        <f t="shared" si="3"/>
        <v>311.71748297113203</v>
      </c>
      <c r="M23" s="151">
        <v>384.41</v>
      </c>
      <c r="N23" s="106"/>
    </row>
    <row r="24" spans="1:44" s="35" customFormat="1" ht="39.6">
      <c r="A24" s="358" t="s">
        <v>418</v>
      </c>
      <c r="B24" s="107">
        <v>20709</v>
      </c>
      <c r="C24" s="102" t="s">
        <v>396</v>
      </c>
      <c r="D24" s="126" t="s">
        <v>300</v>
      </c>
      <c r="E24" s="104" t="s">
        <v>7</v>
      </c>
      <c r="F24" s="155">
        <v>105</v>
      </c>
      <c r="G24" s="203"/>
      <c r="H24" s="204">
        <f t="shared" si="1"/>
        <v>384.4030256417816</v>
      </c>
      <c r="I24" s="359">
        <f t="shared" si="2"/>
        <v>40362.317692387071</v>
      </c>
      <c r="J24" s="326">
        <f t="shared" si="4"/>
        <v>384.4030256417816</v>
      </c>
      <c r="K24" s="105">
        <f t="shared" si="5"/>
        <v>0.23316766855441284</v>
      </c>
      <c r="L24" s="106">
        <v>311.72000000000003</v>
      </c>
      <c r="M24" s="106"/>
      <c r="N24" s="106"/>
    </row>
    <row r="25" spans="1:44" s="35" customFormat="1" ht="26.4">
      <c r="A25" s="358" t="s">
        <v>419</v>
      </c>
      <c r="B25" s="107">
        <v>41501</v>
      </c>
      <c r="C25" s="102" t="s">
        <v>394</v>
      </c>
      <c r="D25" s="126" t="s">
        <v>194</v>
      </c>
      <c r="E25" s="149" t="s">
        <v>6</v>
      </c>
      <c r="F25" s="155">
        <v>125</v>
      </c>
      <c r="G25" s="156"/>
      <c r="H25" s="204">
        <f t="shared" si="1"/>
        <v>65.58828039286729</v>
      </c>
      <c r="I25" s="359">
        <f t="shared" si="2"/>
        <v>8198.5350491084118</v>
      </c>
      <c r="J25" s="315">
        <f t="shared" si="4"/>
        <v>65.58828039286729</v>
      </c>
      <c r="K25" s="105">
        <f t="shared" si="5"/>
        <v>0.23316766855441284</v>
      </c>
      <c r="L25" s="145">
        <f t="shared" si="3"/>
        <v>53.1868310087577</v>
      </c>
      <c r="M25" s="151">
        <v>65.59</v>
      </c>
      <c r="N25" s="106"/>
    </row>
    <row r="26" spans="1:44" s="35" customFormat="1" ht="26.4">
      <c r="A26" s="358" t="s">
        <v>420</v>
      </c>
      <c r="B26" s="107">
        <v>41499</v>
      </c>
      <c r="C26" s="102" t="s">
        <v>394</v>
      </c>
      <c r="D26" s="126" t="s">
        <v>195</v>
      </c>
      <c r="E26" s="149" t="s">
        <v>6</v>
      </c>
      <c r="F26" s="155">
        <v>125</v>
      </c>
      <c r="G26" s="156"/>
      <c r="H26" s="204">
        <f t="shared" si="1"/>
        <v>476.14751626570649</v>
      </c>
      <c r="I26" s="359">
        <f t="shared" si="2"/>
        <v>59518.439533213314</v>
      </c>
      <c r="J26" s="315">
        <f t="shared" si="4"/>
        <v>476.14751626570649</v>
      </c>
      <c r="K26" s="105">
        <f t="shared" si="5"/>
        <v>0.23316766855441284</v>
      </c>
      <c r="L26" s="145">
        <f t="shared" si="3"/>
        <v>386.117418099254</v>
      </c>
      <c r="M26" s="151">
        <v>476.16</v>
      </c>
      <c r="N26" s="106"/>
    </row>
    <row r="27" spans="1:44" s="35" customFormat="1" ht="26.4">
      <c r="A27" s="358" t="s">
        <v>421</v>
      </c>
      <c r="B27" s="107">
        <v>41503</v>
      </c>
      <c r="C27" s="102" t="s">
        <v>394</v>
      </c>
      <c r="D27" s="126" t="s">
        <v>196</v>
      </c>
      <c r="E27" s="149" t="s">
        <v>6</v>
      </c>
      <c r="F27" s="155">
        <v>125</v>
      </c>
      <c r="G27" s="156"/>
      <c r="H27" s="204">
        <f t="shared" si="1"/>
        <v>608.88403615210996</v>
      </c>
      <c r="I27" s="359">
        <f t="shared" si="2"/>
        <v>76110.504519013746</v>
      </c>
      <c r="J27" s="315">
        <f t="shared" si="4"/>
        <v>608.88403615210996</v>
      </c>
      <c r="K27" s="105">
        <f t="shared" si="5"/>
        <v>0.23316766855441284</v>
      </c>
      <c r="L27" s="145">
        <f t="shared" si="3"/>
        <v>493.75608173856631</v>
      </c>
      <c r="M27" s="151">
        <v>608.9</v>
      </c>
      <c r="N27" s="106"/>
    </row>
    <row r="28" spans="1:44" s="2" customFormat="1" ht="13.2">
      <c r="A28" s="358" t="s">
        <v>422</v>
      </c>
      <c r="B28" s="107">
        <v>41527</v>
      </c>
      <c r="C28" s="102" t="s">
        <v>394</v>
      </c>
      <c r="D28" s="126" t="s">
        <v>197</v>
      </c>
      <c r="E28" s="149" t="s">
        <v>149</v>
      </c>
      <c r="F28" s="155">
        <f>'MEMÓRIA DE CALCULO'!U62</f>
        <v>2</v>
      </c>
      <c r="G28" s="156"/>
      <c r="H28" s="204">
        <f t="shared" si="1"/>
        <v>3475.8488694737475</v>
      </c>
      <c r="I28" s="359">
        <f t="shared" si="2"/>
        <v>6951.6977389474951</v>
      </c>
      <c r="J28" s="315">
        <f t="shared" si="4"/>
        <v>3475.8488694737475</v>
      </c>
      <c r="K28" s="105">
        <f t="shared" si="5"/>
        <v>0.23316766855441284</v>
      </c>
      <c r="L28" s="145">
        <f t="shared" si="3"/>
        <v>2818.6344469672395</v>
      </c>
      <c r="M28" s="148">
        <v>3475.94</v>
      </c>
      <c r="N28" s="106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</row>
    <row r="29" spans="1:44" s="2" customFormat="1" ht="13.2">
      <c r="A29" s="358" t="s">
        <v>423</v>
      </c>
      <c r="B29" s="107">
        <v>41555</v>
      </c>
      <c r="C29" s="102" t="s">
        <v>394</v>
      </c>
      <c r="D29" s="126" t="s">
        <v>198</v>
      </c>
      <c r="E29" s="149" t="s">
        <v>149</v>
      </c>
      <c r="F29" s="155">
        <f>'MEMÓRIA DE CALCULO'!U65</f>
        <v>1</v>
      </c>
      <c r="G29" s="156"/>
      <c r="H29" s="204">
        <f t="shared" si="1"/>
        <v>8110.8273486470844</v>
      </c>
      <c r="I29" s="359">
        <f t="shared" si="2"/>
        <v>8110.8273486470844</v>
      </c>
      <c r="J29" s="315">
        <f t="shared" si="4"/>
        <v>8110.8273486470844</v>
      </c>
      <c r="K29" s="105">
        <f t="shared" si="5"/>
        <v>0.23316766855441284</v>
      </c>
      <c r="L29" s="145">
        <f t="shared" si="3"/>
        <v>6577.2299708076544</v>
      </c>
      <c r="M29" s="148">
        <v>8111.04</v>
      </c>
      <c r="N29" s="106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</row>
    <row r="30" spans="1:44" s="2" customFormat="1" ht="13.2">
      <c r="A30" s="358" t="s">
        <v>424</v>
      </c>
      <c r="B30" s="107">
        <v>41557</v>
      </c>
      <c r="C30" s="102" t="s">
        <v>394</v>
      </c>
      <c r="D30" s="126" t="s">
        <v>199</v>
      </c>
      <c r="E30" s="149" t="s">
        <v>6</v>
      </c>
      <c r="F30" s="155">
        <f>'MEMÓRIA DE CALCULO'!U68</f>
        <v>30</v>
      </c>
      <c r="G30" s="156"/>
      <c r="H30" s="204">
        <f t="shared" si="1"/>
        <v>230.24396341603435</v>
      </c>
      <c r="I30" s="359">
        <f t="shared" si="2"/>
        <v>6907.3189024810308</v>
      </c>
      <c r="J30" s="315">
        <f t="shared" si="4"/>
        <v>230.24396341603435</v>
      </c>
      <c r="K30" s="105">
        <f t="shared" si="5"/>
        <v>0.23316766855441284</v>
      </c>
      <c r="L30" s="145">
        <f t="shared" si="3"/>
        <v>186.7093739863769</v>
      </c>
      <c r="M30" s="152">
        <v>230.25</v>
      </c>
      <c r="N30" s="106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</row>
    <row r="31" spans="1:44" s="2" customFormat="1" ht="26.4">
      <c r="A31" s="358" t="s">
        <v>425</v>
      </c>
      <c r="B31" s="107">
        <v>40899</v>
      </c>
      <c r="C31" s="102" t="s">
        <v>394</v>
      </c>
      <c r="D31" s="126" t="s">
        <v>200</v>
      </c>
      <c r="E31" s="149" t="s">
        <v>6</v>
      </c>
      <c r="F31" s="155">
        <f>'MEMÓRIA DE CALCULO'!U71</f>
        <v>400</v>
      </c>
      <c r="G31" s="156"/>
      <c r="H31" s="204">
        <f t="shared" si="1"/>
        <v>25.759324636686408</v>
      </c>
      <c r="I31" s="359">
        <f t="shared" si="2"/>
        <v>10303.729854674562</v>
      </c>
      <c r="J31" s="315">
        <f t="shared" si="4"/>
        <v>25.759324636686408</v>
      </c>
      <c r="K31" s="105">
        <f t="shared" si="5"/>
        <v>0.23316766855441284</v>
      </c>
      <c r="L31" s="145">
        <f t="shared" si="3"/>
        <v>20.88874472915991</v>
      </c>
      <c r="M31" s="153">
        <v>25.76</v>
      </c>
      <c r="N31" s="106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</row>
    <row r="32" spans="1:44" s="2" customFormat="1" ht="13.2">
      <c r="A32" s="358" t="s">
        <v>426</v>
      </c>
      <c r="B32" s="107">
        <v>41500</v>
      </c>
      <c r="C32" s="102" t="s">
        <v>394</v>
      </c>
      <c r="D32" s="126" t="s">
        <v>201</v>
      </c>
      <c r="E32" s="104" t="s">
        <v>7</v>
      </c>
      <c r="F32" s="155">
        <f>'MEMÓRIA DE CALCULO'!U74</f>
        <v>38</v>
      </c>
      <c r="G32" s="156"/>
      <c r="H32" s="204">
        <f t="shared" si="1"/>
        <v>298.58217171072175</v>
      </c>
      <c r="I32" s="359">
        <f t="shared" si="2"/>
        <v>11346.122525007426</v>
      </c>
      <c r="J32" s="315">
        <f t="shared" si="4"/>
        <v>298.58217171072175</v>
      </c>
      <c r="K32" s="105">
        <f t="shared" si="5"/>
        <v>0.23316766855441284</v>
      </c>
      <c r="L32" s="145">
        <f t="shared" si="3"/>
        <v>242.12617580278945</v>
      </c>
      <c r="M32" s="148">
        <v>298.58999999999997</v>
      </c>
      <c r="N32" s="106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</row>
    <row r="33" spans="1:44" s="2" customFormat="1" ht="13.2">
      <c r="A33" s="358" t="s">
        <v>427</v>
      </c>
      <c r="B33" s="107">
        <v>41556</v>
      </c>
      <c r="C33" s="102" t="s">
        <v>394</v>
      </c>
      <c r="D33" s="126" t="s">
        <v>202</v>
      </c>
      <c r="E33" s="104" t="s">
        <v>147</v>
      </c>
      <c r="F33" s="155">
        <f>'MEMÓRIA DE CALCULO'!U78</f>
        <v>52.5</v>
      </c>
      <c r="G33" s="156"/>
      <c r="H33" s="204">
        <f t="shared" si="1"/>
        <v>83.007823683669969</v>
      </c>
      <c r="I33" s="359">
        <f t="shared" si="2"/>
        <v>4357.9107433926738</v>
      </c>
      <c r="J33" s="315">
        <f t="shared" si="4"/>
        <v>83.007823683669969</v>
      </c>
      <c r="K33" s="105">
        <f t="shared" si="5"/>
        <v>0.23316766855441284</v>
      </c>
      <c r="L33" s="145">
        <f t="shared" si="3"/>
        <v>67.312682452156992</v>
      </c>
      <c r="M33" s="148">
        <v>83.01</v>
      </c>
      <c r="N33" s="106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s="2" customFormat="1" ht="13.8" thickBot="1">
      <c r="A34" s="441" t="s">
        <v>485</v>
      </c>
      <c r="B34" s="457">
        <v>41496</v>
      </c>
      <c r="C34" s="462" t="s">
        <v>394</v>
      </c>
      <c r="D34" s="458" t="s">
        <v>486</v>
      </c>
      <c r="E34" s="463" t="s">
        <v>487</v>
      </c>
      <c r="F34" s="460">
        <f>'MEMÓRIA DE CALCULO'!U81</f>
        <v>10</v>
      </c>
      <c r="G34" s="464"/>
      <c r="H34" s="465">
        <f t="shared" si="1"/>
        <v>1886.7405330455567</v>
      </c>
      <c r="I34" s="503">
        <f t="shared" si="2"/>
        <v>18867.405330455567</v>
      </c>
      <c r="J34" s="315">
        <f t="shared" si="4"/>
        <v>1886.7405330455567</v>
      </c>
      <c r="K34" s="105">
        <f t="shared" si="5"/>
        <v>0.23316766855441284</v>
      </c>
      <c r="L34" s="145">
        <f t="shared" si="3"/>
        <v>1529.9951346091468</v>
      </c>
      <c r="M34" s="148">
        <v>1886.79</v>
      </c>
      <c r="N34" s="106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s="2" customFormat="1" ht="13.8" thickBot="1">
      <c r="A35" s="442">
        <v>3</v>
      </c>
      <c r="B35" s="443"/>
      <c r="C35" s="360"/>
      <c r="D35" s="361" t="s">
        <v>167</v>
      </c>
      <c r="E35" s="360"/>
      <c r="F35" s="360"/>
      <c r="G35" s="360"/>
      <c r="H35" s="362"/>
      <c r="I35" s="324">
        <f>I36+I45+I54</f>
        <v>3752069.1755664148</v>
      </c>
      <c r="J35" s="325"/>
      <c r="K35" s="105"/>
      <c r="L35" s="88"/>
      <c r="M35" s="134"/>
      <c r="N35" s="106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s="2" customFormat="1" ht="13.8" thickBot="1">
      <c r="A36" s="444">
        <v>3.1</v>
      </c>
      <c r="B36" s="445"/>
      <c r="C36" s="446"/>
      <c r="D36" s="446" t="s">
        <v>214</v>
      </c>
      <c r="E36" s="446"/>
      <c r="F36" s="446"/>
      <c r="G36" s="446"/>
      <c r="H36" s="446"/>
      <c r="I36" s="447">
        <f>SUM(I37:I44)</f>
        <v>319130.01542640792</v>
      </c>
      <c r="J36" s="325"/>
      <c r="K36" s="105">
        <f t="shared" si="5"/>
        <v>0.23316766855441284</v>
      </c>
      <c r="L36" s="88"/>
      <c r="M36" s="134"/>
      <c r="N36" s="106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s="2" customFormat="1" ht="26.4">
      <c r="A37" s="452" t="s">
        <v>428</v>
      </c>
      <c r="B37" s="1170" t="str">
        <f>REAJUSTE!B12</f>
        <v>05.002.0065-0</v>
      </c>
      <c r="C37" s="334" t="str">
        <f>REAJUSTE!A12</f>
        <v>EMOP</v>
      </c>
      <c r="D37" s="1167" t="str">
        <f>REAJUSTE!C12</f>
        <v>DEMOLICAO E REMOCAO DE ESTRUTURAS METALICAS TRELICADAS DE VERGALHOES E/OU PERFIS LEVES DE ACO,MEDIDAS PELO PESO REMOVIDO Observacao: 3%-DESGASTE DE FERRAMENTAS E EPI</v>
      </c>
      <c r="E37" s="1171" t="str">
        <f>REAJUSTE!D12</f>
        <v>kg</v>
      </c>
      <c r="F37" s="453">
        <f>'MEMÓRIA DE CALCULO'!U86</f>
        <v>42173.176500000001</v>
      </c>
      <c r="G37" s="454"/>
      <c r="H37" s="356">
        <f>J37</f>
        <v>3.9707998927452097</v>
      </c>
      <c r="I37" s="455">
        <f t="shared" ref="I37:I44" si="6">F37*H37</f>
        <v>167461.24472292481</v>
      </c>
      <c r="J37" s="315">
        <f>(L37*K37)+L37</f>
        <v>3.9707998927452097</v>
      </c>
      <c r="K37" s="105">
        <f t="shared" si="5"/>
        <v>0.23316766855441284</v>
      </c>
      <c r="L37" s="150">
        <f>REAJUSTE!L12</f>
        <v>3.22</v>
      </c>
      <c r="M37" s="134"/>
      <c r="N37" s="106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s="2" customFormat="1" ht="13.2">
      <c r="A38" s="376" t="s">
        <v>429</v>
      </c>
      <c r="B38" s="107">
        <v>1600438</v>
      </c>
      <c r="C38" s="109" t="s">
        <v>155</v>
      </c>
      <c r="D38" s="110" t="s">
        <v>210</v>
      </c>
      <c r="E38" s="125" t="s">
        <v>147</v>
      </c>
      <c r="F38" s="157">
        <f>'MEMÓRIA DE CALCULO'!U93</f>
        <v>37.657959999999996</v>
      </c>
      <c r="G38" s="96"/>
      <c r="H38" s="204">
        <f t="shared" ref="H38:H44" si="7">J38</f>
        <v>742.66289671020957</v>
      </c>
      <c r="I38" s="377">
        <f t="shared" si="6"/>
        <v>27967.1696577972</v>
      </c>
      <c r="J38" s="315">
        <f>(L38*K38)+L38</f>
        <v>742.66289671020957</v>
      </c>
      <c r="K38" s="105">
        <f t="shared" si="5"/>
        <v>0.23316766855441284</v>
      </c>
      <c r="L38" s="151">
        <f>'1600438'!I30</f>
        <v>602.24</v>
      </c>
      <c r="M38" s="134"/>
      <c r="N38" s="106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s="2" customFormat="1" ht="26.4">
      <c r="A39" s="376" t="s">
        <v>430</v>
      </c>
      <c r="B39" s="1172" t="str">
        <f>REAJUSTE!B13</f>
        <v>05.026.0004-0</v>
      </c>
      <c r="C39" s="109" t="str">
        <f>REAJUSTE!A13</f>
        <v>EMOP</v>
      </c>
      <c r="D39" s="1175" t="str">
        <f>REAJUSTE!C13</f>
        <v>CORTE COM MACARICO MANUAL DE OXIACETILENO,EM CHAPA DE ACO NA ESPESSURA DE 1/2" Observacao: 3%-DESGASTE DE FERRAMENTAS E EPI</v>
      </c>
      <c r="E39" s="1174" t="str">
        <f>REAJUSTE!D13</f>
        <v>m</v>
      </c>
      <c r="F39" s="157">
        <f>'MEMÓRIA DE CALCULO'!U100</f>
        <v>199.07999999999998</v>
      </c>
      <c r="G39" s="96"/>
      <c r="H39" s="204">
        <f t="shared" si="7"/>
        <v>16.956055442623175</v>
      </c>
      <c r="I39" s="377">
        <f t="shared" si="6"/>
        <v>3375.6115175174214</v>
      </c>
      <c r="J39" s="315">
        <f t="shared" ref="J39" si="8">(L39*K39)+L39</f>
        <v>16.956055442623175</v>
      </c>
      <c r="K39" s="105">
        <f t="shared" si="5"/>
        <v>0.23316766855441284</v>
      </c>
      <c r="L39" s="134">
        <f>REAJUSTE!L13</f>
        <v>13.75</v>
      </c>
      <c r="M39" s="134"/>
      <c r="N39" s="106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s="2" customFormat="1" ht="26.4">
      <c r="A40" s="376" t="s">
        <v>431</v>
      </c>
      <c r="B40" s="640" t="str">
        <f>REAJUSTE!B14</f>
        <v>3R 10 61 10 00 00 01 10 26</v>
      </c>
      <c r="C40" s="1176" t="str">
        <f>REAJUSTE!A14</f>
        <v>TCPO</v>
      </c>
      <c r="D40" s="1173" t="str">
        <f>REAJUSTE!C14</f>
        <v>Corte em concreto com discos diamantados para pisos e lajes profundidade de corte 5 cm</v>
      </c>
      <c r="E40" s="1174" t="str">
        <f>REAJUSTE!D14</f>
        <v>m</v>
      </c>
      <c r="F40" s="158">
        <f>'MEMÓRIA DE CALCULO'!U103</f>
        <v>313.65599999999995</v>
      </c>
      <c r="G40" s="159"/>
      <c r="H40" s="204">
        <f t="shared" si="7"/>
        <v>37.229331913657724</v>
      </c>
      <c r="I40" s="378">
        <f t="shared" si="6"/>
        <v>11677.203330710225</v>
      </c>
      <c r="J40" s="326">
        <f t="shared" ref="J40:J44" si="9">L40*(1+K40)</f>
        <v>37.229331913657724</v>
      </c>
      <c r="K40" s="105">
        <f t="shared" si="5"/>
        <v>0.23316766855441284</v>
      </c>
      <c r="L40" s="134">
        <f>REAJUSTE!L14</f>
        <v>30.19</v>
      </c>
      <c r="M40" s="134"/>
      <c r="N40" s="106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s="2" customFormat="1" ht="26.4">
      <c r="A41" s="376" t="s">
        <v>432</v>
      </c>
      <c r="B41" s="104">
        <v>40806</v>
      </c>
      <c r="C41" s="102" t="s">
        <v>396</v>
      </c>
      <c r="D41" s="110" t="s">
        <v>212</v>
      </c>
      <c r="E41" s="104" t="s">
        <v>7</v>
      </c>
      <c r="F41" s="116">
        <f>'MEMÓRIA DE CALCULO'!U107</f>
        <v>72.685199999999995</v>
      </c>
      <c r="G41" s="90"/>
      <c r="H41" s="204">
        <f t="shared" si="7"/>
        <v>29.32472715822394</v>
      </c>
      <c r="I41" s="378">
        <f t="shared" si="6"/>
        <v>2131.4736584409384</v>
      </c>
      <c r="J41" s="326">
        <f t="shared" si="9"/>
        <v>29.32472715822394</v>
      </c>
      <c r="K41" s="105">
        <f t="shared" si="5"/>
        <v>0.23316766855441284</v>
      </c>
      <c r="L41" s="134">
        <v>23.78</v>
      </c>
      <c r="M41" s="134"/>
      <c r="N41" s="106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s="2" customFormat="1" ht="13.2">
      <c r="A42" s="376" t="s">
        <v>433</v>
      </c>
      <c r="B42" s="104">
        <v>41201</v>
      </c>
      <c r="C42" s="102" t="s">
        <v>394</v>
      </c>
      <c r="D42" s="108" t="s">
        <v>213</v>
      </c>
      <c r="E42" s="104" t="s">
        <v>7</v>
      </c>
      <c r="F42" s="158">
        <f>'MEMÓRIA DE CALCULO'!U111</f>
        <v>72.685199999999995</v>
      </c>
      <c r="G42" s="96"/>
      <c r="H42" s="204">
        <f t="shared" si="7"/>
        <v>453.14811926866503</v>
      </c>
      <c r="I42" s="378">
        <f t="shared" si="6"/>
        <v>32937.161678666766</v>
      </c>
      <c r="J42" s="326">
        <f t="shared" si="9"/>
        <v>453.14811926866503</v>
      </c>
      <c r="K42" s="105">
        <f t="shared" si="5"/>
        <v>0.23316766855441284</v>
      </c>
      <c r="L42" s="145">
        <f t="shared" ref="L42:L44" si="10">M42/(1+0.2332)</f>
        <v>367.46675316250406</v>
      </c>
      <c r="M42" s="134">
        <v>453.16</v>
      </c>
      <c r="N42" s="106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s="2" customFormat="1" ht="13.2">
      <c r="A43" s="376" t="s">
        <v>434</v>
      </c>
      <c r="B43" s="104">
        <v>40563</v>
      </c>
      <c r="C43" s="102" t="s">
        <v>394</v>
      </c>
      <c r="D43" s="451" t="s">
        <v>397</v>
      </c>
      <c r="E43" s="104" t="s">
        <v>152</v>
      </c>
      <c r="F43" s="158">
        <f>'MEMÓRIA DE CALCULO'!U115</f>
        <v>4</v>
      </c>
      <c r="G43" s="96"/>
      <c r="H43" s="204">
        <f t="shared" si="7"/>
        <v>6246.2562343591098</v>
      </c>
      <c r="I43" s="378">
        <f t="shared" si="6"/>
        <v>24985.024937436439</v>
      </c>
      <c r="J43" s="326">
        <f t="shared" si="9"/>
        <v>6246.2562343591098</v>
      </c>
      <c r="K43" s="105">
        <f t="shared" si="5"/>
        <v>0.23316766855441284</v>
      </c>
      <c r="L43" s="145">
        <f t="shared" si="10"/>
        <v>5065.2124554005832</v>
      </c>
      <c r="M43" s="456">
        <v>6246.42</v>
      </c>
      <c r="N43" s="106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s="2" customFormat="1" ht="13.8" thickBot="1">
      <c r="A44" s="376" t="s">
        <v>489</v>
      </c>
      <c r="B44" s="113">
        <v>41546</v>
      </c>
      <c r="C44" s="102" t="s">
        <v>394</v>
      </c>
      <c r="D44" s="466" t="s">
        <v>488</v>
      </c>
      <c r="E44" s="113" t="s">
        <v>168</v>
      </c>
      <c r="F44" s="124">
        <f>'MEMÓRIA DE CALCULO'!U146</f>
        <v>120</v>
      </c>
      <c r="G44" s="379"/>
      <c r="H44" s="204">
        <f t="shared" si="7"/>
        <v>404.95938269095086</v>
      </c>
      <c r="I44" s="378">
        <f t="shared" si="6"/>
        <v>48595.1259229141</v>
      </c>
      <c r="J44" s="326">
        <f t="shared" si="9"/>
        <v>404.95938269095086</v>
      </c>
      <c r="K44" s="105">
        <f t="shared" si="5"/>
        <v>0.23316766855441284</v>
      </c>
      <c r="L44" s="145">
        <f t="shared" si="10"/>
        <v>328.38955562763545</v>
      </c>
      <c r="M44" s="456">
        <v>404.97</v>
      </c>
      <c r="N44" s="106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</row>
    <row r="45" spans="1:44" s="2" customFormat="1" ht="13.8" thickBot="1">
      <c r="A45" s="448" t="s">
        <v>177</v>
      </c>
      <c r="B45" s="449"/>
      <c r="C45" s="449"/>
      <c r="D45" s="449" t="s">
        <v>215</v>
      </c>
      <c r="E45" s="449"/>
      <c r="F45" s="449"/>
      <c r="G45" s="449"/>
      <c r="H45" s="449"/>
      <c r="I45" s="450">
        <f>SUM(I46:I53)</f>
        <v>704437.88323946681</v>
      </c>
      <c r="J45" s="325"/>
      <c r="K45" s="105">
        <f t="shared" si="5"/>
        <v>0.23316766855441284</v>
      </c>
      <c r="L45" s="88"/>
      <c r="M45" s="134"/>
      <c r="N45" s="106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s="35" customFormat="1" ht="13.2">
      <c r="A46" s="411" t="s">
        <v>435</v>
      </c>
      <c r="B46" s="369">
        <v>4915668</v>
      </c>
      <c r="C46" s="369" t="s">
        <v>155</v>
      </c>
      <c r="D46" s="363" t="s">
        <v>338</v>
      </c>
      <c r="E46" s="364" t="s">
        <v>147</v>
      </c>
      <c r="F46" s="370">
        <f>'MEMÓRIA DE CALCULO'!U122</f>
        <v>40.3095</v>
      </c>
      <c r="G46" s="371"/>
      <c r="H46" s="372">
        <f>J46</f>
        <v>427.09529032713533</v>
      </c>
      <c r="I46" s="375">
        <f>F46*H46</f>
        <v>17215.997605441662</v>
      </c>
      <c r="J46" s="327">
        <f t="shared" ref="J46:J48" si="11">L46+(K46*L46)</f>
        <v>427.09529032713533</v>
      </c>
      <c r="K46" s="105">
        <f t="shared" si="5"/>
        <v>0.23316766855441284</v>
      </c>
      <c r="L46" s="38">
        <f>'4915668'!I29</f>
        <v>346.34</v>
      </c>
      <c r="M46" s="106"/>
      <c r="N46" s="106"/>
    </row>
    <row r="47" spans="1:44" s="35" customFormat="1" ht="13.2">
      <c r="A47" s="358" t="s">
        <v>436</v>
      </c>
      <c r="B47" s="435">
        <v>40106</v>
      </c>
      <c r="C47" s="102" t="s">
        <v>394</v>
      </c>
      <c r="D47" s="108" t="s">
        <v>183</v>
      </c>
      <c r="E47" s="125" t="s">
        <v>147</v>
      </c>
      <c r="F47" s="116">
        <f>'MEMÓRIA DE CALCULO'!U126</f>
        <v>1084.2749999999999</v>
      </c>
      <c r="G47" s="104"/>
      <c r="H47" s="143">
        <f>J47</f>
        <v>17.939529657692319</v>
      </c>
      <c r="I47" s="377">
        <f>F47*H47</f>
        <v>19451.383519594336</v>
      </c>
      <c r="J47" s="327">
        <f t="shared" si="11"/>
        <v>17.939529657692319</v>
      </c>
      <c r="K47" s="105">
        <f t="shared" si="5"/>
        <v>0.23316766855441284</v>
      </c>
      <c r="L47" s="134">
        <f t="shared" ref="L47" si="12">M47/(1+0.2332)</f>
        <v>14.547518650664937</v>
      </c>
      <c r="M47" s="146">
        <v>17.940000000000001</v>
      </c>
      <c r="N47" s="106"/>
    </row>
    <row r="48" spans="1:44" s="35" customFormat="1" ht="26.4">
      <c r="A48" s="358" t="s">
        <v>437</v>
      </c>
      <c r="B48" s="136">
        <v>100763</v>
      </c>
      <c r="C48" s="136" t="s">
        <v>222</v>
      </c>
      <c r="D48" s="1177" t="s">
        <v>404</v>
      </c>
      <c r="E48" s="136" t="s">
        <v>33</v>
      </c>
      <c r="F48" s="144">
        <f>'MEMÓRIA DE CALCULO'!U129</f>
        <v>24198.29</v>
      </c>
      <c r="G48" s="135"/>
      <c r="H48" s="143">
        <f>J48</f>
        <v>24.182417980352035</v>
      </c>
      <c r="I48" s="377">
        <f>F48*H48</f>
        <v>585173.16318977287</v>
      </c>
      <c r="J48" s="327">
        <f t="shared" si="11"/>
        <v>24.182417980352035</v>
      </c>
      <c r="K48" s="105">
        <f t="shared" si="5"/>
        <v>0.23316766855441284</v>
      </c>
      <c r="L48" s="38">
        <v>19.61</v>
      </c>
      <c r="M48" s="106"/>
      <c r="N48" s="106"/>
    </row>
    <row r="49" spans="1:44" s="35" customFormat="1" ht="13.2">
      <c r="A49" s="358" t="s">
        <v>438</v>
      </c>
      <c r="B49" s="136">
        <v>1416257</v>
      </c>
      <c r="C49" s="136" t="s">
        <v>155</v>
      </c>
      <c r="D49" s="108" t="s">
        <v>225</v>
      </c>
      <c r="E49" s="136" t="s">
        <v>6</v>
      </c>
      <c r="F49" s="144">
        <f>'MEMÓRIA DE CALCULO'!U133</f>
        <v>81.84</v>
      </c>
      <c r="G49" s="135"/>
      <c r="H49" s="204">
        <f t="shared" ref="H49:H53" si="13">J49</f>
        <v>232.35345210902244</v>
      </c>
      <c r="I49" s="359">
        <f t="shared" ref="I49:I52" si="14">H49*F49</f>
        <v>19015.806520602397</v>
      </c>
      <c r="J49" s="315">
        <f t="shared" ref="J49:J52" si="15">L49+(L49*K49)</f>
        <v>232.35345210902244</v>
      </c>
      <c r="K49" s="105">
        <f t="shared" si="5"/>
        <v>0.23316766855441284</v>
      </c>
      <c r="L49" s="38">
        <f>'1416257'!I33</f>
        <v>188.42</v>
      </c>
      <c r="M49" s="106"/>
      <c r="N49" s="106"/>
    </row>
    <row r="50" spans="1:44" s="255" customFormat="1" ht="13.2">
      <c r="A50" s="358" t="s">
        <v>439</v>
      </c>
      <c r="B50" s="136">
        <v>3807865</v>
      </c>
      <c r="C50" s="136" t="s">
        <v>155</v>
      </c>
      <c r="D50" s="311" t="s">
        <v>400</v>
      </c>
      <c r="E50" s="136" t="s">
        <v>152</v>
      </c>
      <c r="F50" s="144">
        <f>'MEMÓRIA DE CALCULO'!U137</f>
        <v>248</v>
      </c>
      <c r="G50" s="135"/>
      <c r="H50" s="204">
        <f>J50</f>
        <v>42.69226468535377</v>
      </c>
      <c r="I50" s="359">
        <f>F50*H50</f>
        <v>10587.681641967734</v>
      </c>
      <c r="J50" s="315">
        <f t="shared" si="15"/>
        <v>42.69226468535377</v>
      </c>
      <c r="K50" s="105">
        <f t="shared" si="5"/>
        <v>0.23316766855441284</v>
      </c>
      <c r="L50" s="697">
        <f>'3807865'!I33</f>
        <v>34.619999999999997</v>
      </c>
      <c r="M50" s="134"/>
      <c r="N50" s="134"/>
    </row>
    <row r="51" spans="1:44" s="35" customFormat="1" ht="13.2">
      <c r="A51" s="358" t="s">
        <v>440</v>
      </c>
      <c r="B51" s="119" t="s">
        <v>408</v>
      </c>
      <c r="C51" s="136" t="s">
        <v>155</v>
      </c>
      <c r="D51" s="163" t="s">
        <v>407</v>
      </c>
      <c r="E51" s="162" t="s">
        <v>33</v>
      </c>
      <c r="F51" s="162">
        <f>'MEMÓRIA DE CALCULO'!U140</f>
        <v>21.025440000000003</v>
      </c>
      <c r="G51" s="161"/>
      <c r="H51" s="143">
        <f>J51</f>
        <v>74.828614127881778</v>
      </c>
      <c r="I51" s="359">
        <f>F51*H51</f>
        <v>1573.3045366289309</v>
      </c>
      <c r="J51" s="326">
        <f t="shared" ref="J51" si="16">L51*(1+K51)</f>
        <v>74.828614127881778</v>
      </c>
      <c r="K51" s="105">
        <f t="shared" si="5"/>
        <v>0.23316766855441284</v>
      </c>
      <c r="L51" s="38">
        <f>'2407972'!I31</f>
        <v>60.68</v>
      </c>
      <c r="M51" s="106"/>
      <c r="N51" s="106"/>
    </row>
    <row r="52" spans="1:44" s="35" customFormat="1" ht="13.2">
      <c r="A52" s="412" t="s">
        <v>441</v>
      </c>
      <c r="B52" s="436">
        <v>41556</v>
      </c>
      <c r="C52" s="367" t="s">
        <v>394</v>
      </c>
      <c r="D52" s="380" t="s">
        <v>202</v>
      </c>
      <c r="E52" s="112" t="s">
        <v>147</v>
      </c>
      <c r="F52" s="381">
        <f>'MEMÓRIA DE CALCULO'!U143</f>
        <v>34.037999999999997</v>
      </c>
      <c r="G52" s="382"/>
      <c r="H52" s="368">
        <f t="shared" si="13"/>
        <v>83.007823683669969</v>
      </c>
      <c r="I52" s="413">
        <f t="shared" si="14"/>
        <v>2825.4203025447582</v>
      </c>
      <c r="J52" s="315">
        <f t="shared" si="15"/>
        <v>83.007823683669969</v>
      </c>
      <c r="K52" s="105">
        <f t="shared" si="5"/>
        <v>0.23316766855441284</v>
      </c>
      <c r="L52" s="145">
        <f t="shared" ref="L52:L53" si="17">M52/(1+0.2332)</f>
        <v>67.312682452156992</v>
      </c>
      <c r="M52" s="148">
        <v>83.01</v>
      </c>
      <c r="N52" s="106"/>
    </row>
    <row r="53" spans="1:44" s="35" customFormat="1" ht="13.8" thickBot="1">
      <c r="A53" s="412" t="s">
        <v>490</v>
      </c>
      <c r="B53" s="113">
        <v>41546</v>
      </c>
      <c r="C53" s="102" t="s">
        <v>394</v>
      </c>
      <c r="D53" s="466" t="s">
        <v>488</v>
      </c>
      <c r="E53" s="113" t="s">
        <v>168</v>
      </c>
      <c r="F53" s="124">
        <f>'MEMÓRIA DE CALCULO'!U146</f>
        <v>120</v>
      </c>
      <c r="G53" s="379"/>
      <c r="H53" s="204">
        <f t="shared" si="13"/>
        <v>404.95938269095086</v>
      </c>
      <c r="I53" s="378">
        <f t="shared" ref="I53" si="18">F53*H53</f>
        <v>48595.1259229141</v>
      </c>
      <c r="J53" s="326">
        <f t="shared" ref="J53" si="19">L53*(1+K53)</f>
        <v>404.95938269095086</v>
      </c>
      <c r="K53" s="105">
        <f t="shared" si="5"/>
        <v>0.23316766855441284</v>
      </c>
      <c r="L53" s="145">
        <f t="shared" si="17"/>
        <v>328.38955562763545</v>
      </c>
      <c r="M53" s="456">
        <v>404.97</v>
      </c>
      <c r="N53" s="106"/>
    </row>
    <row r="54" spans="1:44" s="2" customFormat="1" ht="13.8" thickBot="1">
      <c r="A54" s="373" t="s">
        <v>178</v>
      </c>
      <c r="B54" s="365"/>
      <c r="C54" s="365"/>
      <c r="D54" s="365" t="s">
        <v>359</v>
      </c>
      <c r="E54" s="365"/>
      <c r="F54" s="365"/>
      <c r="G54" s="365"/>
      <c r="H54" s="365"/>
      <c r="I54" s="366">
        <f>SUM(I55:I67)</f>
        <v>2728501.2769005401</v>
      </c>
      <c r="J54" s="325"/>
      <c r="K54" s="105">
        <f t="shared" si="5"/>
        <v>0.23316766855441284</v>
      </c>
      <c r="L54" s="88"/>
      <c r="M54" s="134"/>
      <c r="N54" s="106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</row>
    <row r="55" spans="1:44" s="35" customFormat="1" ht="13.2">
      <c r="A55" s="411" t="s">
        <v>442</v>
      </c>
      <c r="B55" s="434">
        <v>40398</v>
      </c>
      <c r="C55" s="345" t="s">
        <v>394</v>
      </c>
      <c r="D55" s="363" t="s">
        <v>156</v>
      </c>
      <c r="E55" s="347" t="s">
        <v>7</v>
      </c>
      <c r="F55" s="383">
        <f>'MEMÓRIA DE CALCULO'!U150</f>
        <v>802.3</v>
      </c>
      <c r="G55" s="384"/>
      <c r="H55" s="385">
        <f>J55</f>
        <v>273.16283816007865</v>
      </c>
      <c r="I55" s="414">
        <f>H55*F55</f>
        <v>219158.54505583108</v>
      </c>
      <c r="J55" s="315">
        <f t="shared" ref="J55:J57" si="20">L55+(L55*K55)</f>
        <v>273.16283816007865</v>
      </c>
      <c r="K55" s="105">
        <f t="shared" si="5"/>
        <v>0.23316766855441284</v>
      </c>
      <c r="L55" s="145">
        <f t="shared" ref="L55:L57" si="21">M55/(1+0.2332)</f>
        <v>221.51313655530328</v>
      </c>
      <c r="M55" s="106">
        <v>273.17</v>
      </c>
      <c r="N55" s="106"/>
    </row>
    <row r="56" spans="1:44" s="35" customFormat="1" ht="26.4">
      <c r="A56" s="358" t="s">
        <v>443</v>
      </c>
      <c r="B56" s="107">
        <v>40323</v>
      </c>
      <c r="C56" s="102" t="s">
        <v>394</v>
      </c>
      <c r="D56" s="110" t="s">
        <v>154</v>
      </c>
      <c r="E56" s="104" t="s">
        <v>7</v>
      </c>
      <c r="F56" s="138">
        <f>'MEMÓRIA DE CALCULO'!U154</f>
        <v>294.26</v>
      </c>
      <c r="G56" s="330"/>
      <c r="H56" s="140">
        <f>J56</f>
        <v>141.26629625095842</v>
      </c>
      <c r="I56" s="415">
        <f t="shared" ref="I56:I67" si="22">H56*F56</f>
        <v>41569.020334807021</v>
      </c>
      <c r="J56" s="315">
        <f t="shared" si="20"/>
        <v>141.26629625095842</v>
      </c>
      <c r="K56" s="105">
        <f t="shared" si="5"/>
        <v>0.23316766855441284</v>
      </c>
      <c r="L56" s="145">
        <f t="shared" si="21"/>
        <v>114.55562763542005</v>
      </c>
      <c r="M56" s="106">
        <v>141.27000000000001</v>
      </c>
      <c r="N56" s="106"/>
    </row>
    <row r="57" spans="1:44" s="35" customFormat="1" ht="13.2">
      <c r="A57" s="358" t="s">
        <v>444</v>
      </c>
      <c r="B57" s="107">
        <v>40376</v>
      </c>
      <c r="C57" s="102" t="s">
        <v>394</v>
      </c>
      <c r="D57" s="110" t="s">
        <v>151</v>
      </c>
      <c r="E57" s="104" t="s">
        <v>33</v>
      </c>
      <c r="F57" s="138">
        <f>'MEMÓRIA DE CALCULO'!U160</f>
        <v>23360</v>
      </c>
      <c r="G57" s="120"/>
      <c r="H57" s="140">
        <f>J57</f>
        <v>13.299651306984829</v>
      </c>
      <c r="I57" s="415">
        <f t="shared" si="22"/>
        <v>310679.85453116562</v>
      </c>
      <c r="J57" s="315">
        <f t="shared" si="20"/>
        <v>13.299651306984829</v>
      </c>
      <c r="K57" s="105">
        <f t="shared" si="5"/>
        <v>0.23316766855441284</v>
      </c>
      <c r="L57" s="145">
        <f t="shared" si="21"/>
        <v>10.784949724294519</v>
      </c>
      <c r="M57" s="88">
        <v>13.3</v>
      </c>
      <c r="N57" s="106"/>
    </row>
    <row r="58" spans="1:44" s="35" customFormat="1" ht="13.2">
      <c r="A58" s="358" t="s">
        <v>445</v>
      </c>
      <c r="B58" s="136">
        <v>108477</v>
      </c>
      <c r="C58" s="102" t="s">
        <v>394</v>
      </c>
      <c r="D58" s="108" t="s">
        <v>641</v>
      </c>
      <c r="E58" s="104" t="s">
        <v>147</v>
      </c>
      <c r="F58" s="144">
        <f>'MEMÓRIA DE CALCULO'!U166</f>
        <v>61.426000000000002</v>
      </c>
      <c r="G58" s="135"/>
      <c r="H58" s="139">
        <f>J58</f>
        <v>780.06</v>
      </c>
      <c r="I58" s="415">
        <f t="shared" si="22"/>
        <v>47915.965559999997</v>
      </c>
      <c r="J58" s="328">
        <f>L58+(L58*K58)</f>
        <v>780.06</v>
      </c>
      <c r="K58" s="105">
        <f t="shared" si="5"/>
        <v>0.23316766855441284</v>
      </c>
      <c r="L58" s="145">
        <f>M58/(1+K58)</f>
        <v>632.5660491200108</v>
      </c>
      <c r="M58" s="106">
        <v>780.06</v>
      </c>
      <c r="N58" s="106"/>
    </row>
    <row r="59" spans="1:44" s="35" customFormat="1" ht="13.2">
      <c r="A59" s="358" t="s">
        <v>446</v>
      </c>
      <c r="B59" s="731" t="s">
        <v>176</v>
      </c>
      <c r="C59" s="731"/>
      <c r="D59" s="110" t="s">
        <v>224</v>
      </c>
      <c r="E59" s="104" t="s">
        <v>147</v>
      </c>
      <c r="F59" s="144">
        <f>'MEMÓRIA DE CALCULO'!U171</f>
        <v>176.50600000000003</v>
      </c>
      <c r="G59" s="135"/>
      <c r="H59" s="139">
        <f>J59</f>
        <v>797.74849646453515</v>
      </c>
      <c r="I59" s="415">
        <f t="shared" si="22"/>
        <v>140807.39611696926</v>
      </c>
      <c r="J59" s="328">
        <f>L59+(K59*L59)</f>
        <v>797.74849646453515</v>
      </c>
      <c r="K59" s="105">
        <f t="shared" si="5"/>
        <v>0.23316766855441284</v>
      </c>
      <c r="L59" s="38">
        <f>COMP_2!L29</f>
        <v>646.91</v>
      </c>
      <c r="M59" s="106"/>
      <c r="N59" s="106"/>
    </row>
    <row r="60" spans="1:44" s="2" customFormat="1" ht="12" customHeight="1">
      <c r="A60" s="358" t="s">
        <v>447</v>
      </c>
      <c r="B60" s="107">
        <v>40381</v>
      </c>
      <c r="C60" s="102" t="s">
        <v>394</v>
      </c>
      <c r="D60" s="110" t="s">
        <v>175</v>
      </c>
      <c r="E60" s="104" t="s">
        <v>7</v>
      </c>
      <c r="F60" s="138">
        <f>'MEMÓRIA DE CALCULO'!U175</f>
        <v>802.3</v>
      </c>
      <c r="G60" s="331"/>
      <c r="H60" s="140">
        <f t="shared" ref="H60:H65" si="23">J60</f>
        <v>35.979056693632636</v>
      </c>
      <c r="I60" s="415">
        <f t="shared" si="22"/>
        <v>28865.997185301461</v>
      </c>
      <c r="J60" s="315">
        <f t="shared" ref="J60:J61" si="24">L60+(L60*K60)</f>
        <v>35.979056693632636</v>
      </c>
      <c r="K60" s="105">
        <f t="shared" si="5"/>
        <v>0.23316766855441284</v>
      </c>
      <c r="L60" s="145">
        <f t="shared" ref="L60:L61" si="25">M60/(1+0.2332)</f>
        <v>29.176127148880955</v>
      </c>
      <c r="M60" s="134">
        <v>35.979999999999997</v>
      </c>
      <c r="N60" s="106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</row>
    <row r="61" spans="1:44" s="2" customFormat="1" ht="13.2">
      <c r="A61" s="358" t="s">
        <v>448</v>
      </c>
      <c r="B61" s="107">
        <v>100394</v>
      </c>
      <c r="C61" s="102" t="s">
        <v>394</v>
      </c>
      <c r="D61" s="110" t="s">
        <v>150</v>
      </c>
      <c r="E61" s="104" t="s">
        <v>33</v>
      </c>
      <c r="F61" s="138">
        <f>'MEMÓRIA DE CALCULO'!U179</f>
        <v>79.090909090909079</v>
      </c>
      <c r="G61" s="137"/>
      <c r="H61" s="140">
        <f t="shared" si="23"/>
        <v>15.549592317564969</v>
      </c>
      <c r="I61" s="415">
        <f t="shared" si="22"/>
        <v>1229.8313923892292</v>
      </c>
      <c r="J61" s="315">
        <f t="shared" si="24"/>
        <v>15.549592317564969</v>
      </c>
      <c r="K61" s="105">
        <f t="shared" si="5"/>
        <v>0.23316766855441284</v>
      </c>
      <c r="L61" s="145">
        <f t="shared" si="25"/>
        <v>12.609471294193966</v>
      </c>
      <c r="M61" s="88">
        <v>15.55</v>
      </c>
      <c r="N61" s="106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</row>
    <row r="62" spans="1:44" s="2" customFormat="1" ht="13.2">
      <c r="A62" s="358" t="s">
        <v>449</v>
      </c>
      <c r="B62" s="731" t="s">
        <v>216</v>
      </c>
      <c r="C62" s="731"/>
      <c r="D62" s="126" t="s">
        <v>165</v>
      </c>
      <c r="E62" s="104" t="s">
        <v>152</v>
      </c>
      <c r="F62" s="138">
        <f>'MEMÓRIA DE CALCULO'!U182</f>
        <v>46</v>
      </c>
      <c r="G62" s="137"/>
      <c r="H62" s="140">
        <f t="shared" si="23"/>
        <v>24.333604336516807</v>
      </c>
      <c r="I62" s="415">
        <f t="shared" si="22"/>
        <v>1119.3457994797732</v>
      </c>
      <c r="J62" s="325">
        <f>L62*K62+L62</f>
        <v>24.333604336516807</v>
      </c>
      <c r="K62" s="105">
        <f t="shared" si="5"/>
        <v>0.23316766855441284</v>
      </c>
      <c r="L62" s="131">
        <f>COMP_01!L26</f>
        <v>19.732600000000001</v>
      </c>
      <c r="M62" s="134"/>
      <c r="N62" s="106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</row>
    <row r="63" spans="1:44" s="2" customFormat="1" ht="13.2">
      <c r="A63" s="358" t="s">
        <v>450</v>
      </c>
      <c r="B63" s="107">
        <v>307735</v>
      </c>
      <c r="C63" s="136" t="s">
        <v>155</v>
      </c>
      <c r="D63" s="110" t="s">
        <v>164</v>
      </c>
      <c r="E63" s="104" t="s">
        <v>6</v>
      </c>
      <c r="F63" s="138">
        <f>'MEMÓRIA DE CALCULO'!U185</f>
        <v>45.2</v>
      </c>
      <c r="G63" s="137"/>
      <c r="H63" s="140">
        <f t="shared" si="23"/>
        <v>1114.5862655462206</v>
      </c>
      <c r="I63" s="415">
        <f t="shared" si="22"/>
        <v>50379.299202689173</v>
      </c>
      <c r="J63" s="325">
        <f>L63*K63+L63</f>
        <v>1114.5862655462206</v>
      </c>
      <c r="K63" s="105">
        <f t="shared" si="5"/>
        <v>0.23316766855441284</v>
      </c>
      <c r="L63" s="698">
        <f>'0307735'!I36</f>
        <v>903.84</v>
      </c>
      <c r="M63" s="134"/>
      <c r="N63" s="106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</row>
    <row r="64" spans="1:44" s="2" customFormat="1" ht="13.2">
      <c r="A64" s="358" t="s">
        <v>451</v>
      </c>
      <c r="B64" s="107">
        <v>307084</v>
      </c>
      <c r="C64" s="136" t="s">
        <v>155</v>
      </c>
      <c r="D64" s="110" t="s">
        <v>157</v>
      </c>
      <c r="E64" s="104" t="s">
        <v>6</v>
      </c>
      <c r="F64" s="138">
        <f>'MEMÓRIA DE CALCULO'!U188</f>
        <v>90.4</v>
      </c>
      <c r="G64" s="137"/>
      <c r="H64" s="140">
        <f t="shared" si="23"/>
        <v>37.710267304393945</v>
      </c>
      <c r="I64" s="415">
        <f t="shared" si="22"/>
        <v>3409.008164317213</v>
      </c>
      <c r="J64" s="325">
        <f>L64*K64+L64</f>
        <v>37.710267304393945</v>
      </c>
      <c r="K64" s="105">
        <f t="shared" si="5"/>
        <v>0.23316766855441284</v>
      </c>
      <c r="L64" s="131">
        <f>'0307084'!I36</f>
        <v>30.58</v>
      </c>
      <c r="M64" s="134"/>
      <c r="N64" s="106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</row>
    <row r="65" spans="1:44" s="2" customFormat="1" ht="13.2">
      <c r="A65" s="358" t="s">
        <v>452</v>
      </c>
      <c r="B65" s="107">
        <v>40637</v>
      </c>
      <c r="C65" s="102" t="s">
        <v>394</v>
      </c>
      <c r="D65" s="110" t="s">
        <v>172</v>
      </c>
      <c r="E65" s="104" t="s">
        <v>152</v>
      </c>
      <c r="F65" s="138">
        <f>'MEMÓRIA DE CALCULO'!U191</f>
        <v>36</v>
      </c>
      <c r="G65" s="137"/>
      <c r="H65" s="140">
        <f t="shared" si="23"/>
        <v>78.107952149517658</v>
      </c>
      <c r="I65" s="415">
        <f t="shared" si="22"/>
        <v>2811.8862773826359</v>
      </c>
      <c r="J65" s="315">
        <f t="shared" ref="J65" si="26">L65+(L65*K65)</f>
        <v>78.107952149517658</v>
      </c>
      <c r="K65" s="105">
        <f t="shared" si="5"/>
        <v>0.23316766855441284</v>
      </c>
      <c r="L65" s="145">
        <f t="shared" ref="L65" si="27">M65/(1+0.2332)</f>
        <v>63.339279922153743</v>
      </c>
      <c r="M65" s="134">
        <v>78.11</v>
      </c>
      <c r="N65" s="106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</row>
    <row r="66" spans="1:44" s="2" customFormat="1" ht="13.2">
      <c r="A66" s="358" t="s">
        <v>453</v>
      </c>
      <c r="B66" s="731" t="s">
        <v>370</v>
      </c>
      <c r="C66" s="731"/>
      <c r="D66" s="110" t="s">
        <v>381</v>
      </c>
      <c r="E66" s="162" t="s">
        <v>6</v>
      </c>
      <c r="F66" s="162">
        <f>'MEMÓRIA DE CALCULO'!U194</f>
        <v>142</v>
      </c>
      <c r="G66" s="161"/>
      <c r="H66" s="140">
        <f>J66</f>
        <v>5081.8313058532876</v>
      </c>
      <c r="I66" s="415">
        <f>H66*F66</f>
        <v>721620.04543116689</v>
      </c>
      <c r="J66" s="315">
        <f t="shared" ref="J66" si="28">L66+(L66*K66)</f>
        <v>5081.8313058532876</v>
      </c>
      <c r="K66" s="105">
        <f t="shared" si="5"/>
        <v>0.23316766855441284</v>
      </c>
      <c r="L66" s="38">
        <f>COMP_04!L33</f>
        <v>4120.9573</v>
      </c>
      <c r="M66" s="134"/>
      <c r="N66" s="106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</row>
    <row r="67" spans="1:44" s="2" customFormat="1" ht="13.8" thickBot="1">
      <c r="A67" s="412" t="s">
        <v>454</v>
      </c>
      <c r="B67" s="735" t="s">
        <v>323</v>
      </c>
      <c r="C67" s="735"/>
      <c r="D67" s="201" t="s">
        <v>324</v>
      </c>
      <c r="E67" s="112" t="s">
        <v>152</v>
      </c>
      <c r="F67" s="386">
        <v>2</v>
      </c>
      <c r="G67" s="387"/>
      <c r="H67" s="388">
        <f>J67</f>
        <v>579467.54092452023</v>
      </c>
      <c r="I67" s="416">
        <f t="shared" si="22"/>
        <v>1158935.0818490405</v>
      </c>
      <c r="J67" s="315">
        <f t="shared" ref="J67" si="29">L67+(L67*K67)</f>
        <v>579467.54092452023</v>
      </c>
      <c r="K67" s="105">
        <f t="shared" si="5"/>
        <v>0.23316766855441284</v>
      </c>
      <c r="L67" s="38">
        <f>COMP_03!L35</f>
        <v>469901.66519999999</v>
      </c>
      <c r="M67" s="134"/>
      <c r="N67" s="106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</row>
    <row r="68" spans="1:44" s="2" customFormat="1" ht="13.8" thickBot="1">
      <c r="A68" s="321" t="s">
        <v>80</v>
      </c>
      <c r="B68" s="361"/>
      <c r="C68" s="361"/>
      <c r="D68" s="361" t="s">
        <v>166</v>
      </c>
      <c r="E68" s="361"/>
      <c r="F68" s="361"/>
      <c r="G68" s="361"/>
      <c r="H68" s="361"/>
      <c r="I68" s="324">
        <f>SUM(I69:I84)</f>
        <v>184537.78478017612</v>
      </c>
      <c r="J68" s="326"/>
      <c r="K68" s="105">
        <f t="shared" si="5"/>
        <v>0.23316766855441284</v>
      </c>
      <c r="L68" s="88"/>
      <c r="M68" s="88"/>
      <c r="N68" s="106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</row>
    <row r="69" spans="1:44" s="2" customFormat="1" ht="13.2">
      <c r="A69" s="411" t="s">
        <v>173</v>
      </c>
      <c r="B69" s="347">
        <v>41027</v>
      </c>
      <c r="C69" s="345" t="s">
        <v>394</v>
      </c>
      <c r="D69" s="389" t="s">
        <v>382</v>
      </c>
      <c r="E69" s="347" t="s">
        <v>147</v>
      </c>
      <c r="F69" s="390">
        <f>'MEMÓRIA DE CALCULO'!U201</f>
        <v>595.5</v>
      </c>
      <c r="G69" s="369"/>
      <c r="H69" s="391">
        <f>J69</f>
        <v>39.858954969655279</v>
      </c>
      <c r="I69" s="414">
        <f t="shared" ref="I69:I71" si="30">H69*F69</f>
        <v>23736.007684429718</v>
      </c>
      <c r="J69" s="325">
        <f>L69*(1+K69)</f>
        <v>39.858954969655279</v>
      </c>
      <c r="K69" s="105">
        <f t="shared" si="5"/>
        <v>0.23316766855441284</v>
      </c>
      <c r="L69" s="145">
        <f t="shared" ref="L69" si="31">M69/(1+0.2332)</f>
        <v>32.322413233863116</v>
      </c>
      <c r="M69" s="38">
        <v>39.86</v>
      </c>
      <c r="N69" s="106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</row>
    <row r="70" spans="1:44" s="2" customFormat="1" ht="13.2">
      <c r="A70" s="358" t="s">
        <v>174</v>
      </c>
      <c r="B70" s="136">
        <v>41028</v>
      </c>
      <c r="C70" s="102" t="s">
        <v>394</v>
      </c>
      <c r="D70" s="163" t="s">
        <v>148</v>
      </c>
      <c r="E70" s="136" t="s">
        <v>7</v>
      </c>
      <c r="F70" s="144">
        <f>'MEMÓRIA DE CALCULO'!U205</f>
        <v>71.099999999999994</v>
      </c>
      <c r="G70" s="136"/>
      <c r="H70" s="139">
        <f>J70</f>
        <v>5.0298681258747138</v>
      </c>
      <c r="I70" s="415">
        <f t="shared" si="30"/>
        <v>357.62362374969211</v>
      </c>
      <c r="J70" s="315">
        <f t="shared" ref="J70:J71" si="32">L70+(L70*K70)</f>
        <v>5.0298681258747138</v>
      </c>
      <c r="K70" s="105">
        <f t="shared" si="5"/>
        <v>0.23316766855441284</v>
      </c>
      <c r="L70" s="145">
        <f t="shared" ref="L70:L71" si="33">M70/(1+0.2332)</f>
        <v>4.0788193318196564</v>
      </c>
      <c r="M70" s="38">
        <v>5.03</v>
      </c>
      <c r="N70" s="106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</row>
    <row r="71" spans="1:44" s="2" customFormat="1" ht="13.2">
      <c r="A71" s="358" t="s">
        <v>341</v>
      </c>
      <c r="B71" s="107">
        <v>40637</v>
      </c>
      <c r="C71" s="102" t="s">
        <v>394</v>
      </c>
      <c r="D71" s="110" t="s">
        <v>172</v>
      </c>
      <c r="E71" s="104" t="s">
        <v>152</v>
      </c>
      <c r="F71" s="138">
        <f>'MEMÓRIA DE CALCULO'!U208</f>
        <v>88.001999999999995</v>
      </c>
      <c r="G71" s="137"/>
      <c r="H71" s="140">
        <f t="shared" ref="H71" si="34">J71</f>
        <v>78.107952149517658</v>
      </c>
      <c r="I71" s="415">
        <f t="shared" si="30"/>
        <v>6873.6560050618527</v>
      </c>
      <c r="J71" s="315">
        <f t="shared" si="32"/>
        <v>78.107952149517658</v>
      </c>
      <c r="K71" s="105">
        <f t="shared" si="5"/>
        <v>0.23316766855441284</v>
      </c>
      <c r="L71" s="145">
        <f t="shared" si="33"/>
        <v>63.339279922153743</v>
      </c>
      <c r="M71" s="134">
        <v>78.11</v>
      </c>
      <c r="N71" s="106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</row>
    <row r="72" spans="1:44" s="2" customFormat="1" ht="13.2">
      <c r="A72" s="358" t="s">
        <v>342</v>
      </c>
      <c r="B72" s="107">
        <v>41401</v>
      </c>
      <c r="C72" s="102" t="s">
        <v>394</v>
      </c>
      <c r="D72" s="103" t="s">
        <v>298</v>
      </c>
      <c r="E72" s="197" t="s">
        <v>7</v>
      </c>
      <c r="F72" s="199">
        <f>'MEMÓRIA DE CALCULO'!U211</f>
        <v>88.001999999999995</v>
      </c>
      <c r="G72" s="90"/>
      <c r="H72" s="198">
        <f t="shared" ref="H72:H73" si="35">J72</f>
        <v>7.0598149043092393</v>
      </c>
      <c r="I72" s="417">
        <f t="shared" ref="I72:I73" si="36">H72*F72</f>
        <v>621.27783120902166</v>
      </c>
      <c r="J72" s="315">
        <f t="shared" ref="J72" si="37">L72+(L72*K72)</f>
        <v>7.0598149043092393</v>
      </c>
      <c r="K72" s="105">
        <f t="shared" si="5"/>
        <v>0.23316766855441284</v>
      </c>
      <c r="L72" s="145">
        <f t="shared" ref="L72" si="38">M72/(1+0.2332)</f>
        <v>5.7249432371067135</v>
      </c>
      <c r="M72" s="38">
        <v>7.06</v>
      </c>
      <c r="N72" s="106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</row>
    <row r="73" spans="1:44" s="2" customFormat="1" ht="13.2">
      <c r="A73" s="358" t="s">
        <v>343</v>
      </c>
      <c r="B73" s="107">
        <v>40717</v>
      </c>
      <c r="C73" s="102" t="s">
        <v>394</v>
      </c>
      <c r="D73" s="200" t="s">
        <v>299</v>
      </c>
      <c r="E73" s="197" t="s">
        <v>147</v>
      </c>
      <c r="F73" s="199">
        <f>'MEMÓRIA DE CALCULO'!U214</f>
        <v>11.000249999999999</v>
      </c>
      <c r="G73" s="90"/>
      <c r="H73" s="198">
        <f t="shared" si="35"/>
        <v>157.69586549710579</v>
      </c>
      <c r="I73" s="417">
        <f t="shared" si="36"/>
        <v>1734.6939444345378</v>
      </c>
      <c r="J73" s="315">
        <f t="shared" ref="J73" si="39">L73+(L73*K73)</f>
        <v>157.69586549710579</v>
      </c>
      <c r="K73" s="105">
        <f t="shared" si="5"/>
        <v>0.23316766855441284</v>
      </c>
      <c r="L73" s="145">
        <f t="shared" ref="L73" si="40">M73/(1+0.2332)</f>
        <v>127.87868958806355</v>
      </c>
      <c r="M73" s="38">
        <v>157.69999999999999</v>
      </c>
      <c r="N73" s="106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</row>
    <row r="74" spans="1:44" s="2" customFormat="1" ht="13.2">
      <c r="A74" s="358" t="s">
        <v>344</v>
      </c>
      <c r="B74" s="104">
        <v>40802</v>
      </c>
      <c r="C74" s="102" t="s">
        <v>396</v>
      </c>
      <c r="D74" s="163" t="s">
        <v>217</v>
      </c>
      <c r="E74" s="104" t="s">
        <v>7</v>
      </c>
      <c r="F74" s="116">
        <f>'MEMÓRIA DE CALCULO'!U217</f>
        <v>473.52599999999995</v>
      </c>
      <c r="G74" s="104"/>
      <c r="H74" s="143">
        <f>J74</f>
        <v>164.86218560903944</v>
      </c>
      <c r="I74" s="377">
        <f>F74*H74</f>
        <v>78066.531302706004</v>
      </c>
      <c r="J74" s="326">
        <f>L74*(1+K74)</f>
        <v>164.86218560903944</v>
      </c>
      <c r="K74" s="105">
        <f t="shared" si="5"/>
        <v>0.23316766855441284</v>
      </c>
      <c r="L74" s="134">
        <v>133.69</v>
      </c>
      <c r="M74" s="38"/>
      <c r="N74" s="106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</row>
    <row r="75" spans="1:44" s="2" customFormat="1" ht="26.4">
      <c r="A75" s="358" t="s">
        <v>345</v>
      </c>
      <c r="B75" s="120" t="str">
        <f>REAJUSTE!B15</f>
        <v>05.001.0160-0</v>
      </c>
      <c r="C75" s="1176" t="str">
        <f>REAJUSTE!A15</f>
        <v>EMOP</v>
      </c>
      <c r="D75" s="1179" t="str">
        <f>REAJUSTE!C15</f>
        <v xml:space="preserve">PERCUSSAO COM BATIDAS LEVES,SEM RETIRADA DO MATERIAL SOLTO Observacao: 3%-DESGASTE DE FERRAMENTAS E EPI 	</v>
      </c>
      <c r="E75" s="1174" t="str">
        <f>REAJUSTE!D15</f>
        <v>m2</v>
      </c>
      <c r="F75" s="116">
        <f>'MEMÓRIA DE CALCULO'!U221</f>
        <v>473.52599999999995</v>
      </c>
      <c r="G75" s="104"/>
      <c r="H75" s="143">
        <f t="shared" ref="H75:H82" si="41">J75</f>
        <v>3.7734930657765036</v>
      </c>
      <c r="I75" s="377">
        <f>F75*H75</f>
        <v>1786.8470774648845</v>
      </c>
      <c r="J75" s="326">
        <f>L75*(1+K75)</f>
        <v>3.7734930657765036</v>
      </c>
      <c r="K75" s="105">
        <f t="shared" si="5"/>
        <v>0.23316766855441284</v>
      </c>
      <c r="L75" s="134">
        <f>REAJUSTE!L15</f>
        <v>3.06</v>
      </c>
      <c r="M75" s="38"/>
      <c r="N75" s="106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</row>
    <row r="76" spans="1:44" s="2" customFormat="1" ht="13.2">
      <c r="A76" s="358" t="s">
        <v>346</v>
      </c>
      <c r="B76" s="104">
        <v>102069</v>
      </c>
      <c r="C76" s="102" t="s">
        <v>394</v>
      </c>
      <c r="D76" s="163" t="s">
        <v>218</v>
      </c>
      <c r="E76" s="104" t="s">
        <v>7</v>
      </c>
      <c r="F76" s="116">
        <f>'MEMÓRIA DE CALCULO'!U225</f>
        <v>1025.973</v>
      </c>
      <c r="G76" s="104"/>
      <c r="H76" s="143">
        <f t="shared" si="41"/>
        <v>5.349859736268332</v>
      </c>
      <c r="I76" s="377">
        <f>H76*F76</f>
        <v>5488.811643198429</v>
      </c>
      <c r="J76" s="315">
        <f t="shared" ref="J76" si="42">L76+(L76*K76)</f>
        <v>5.349859736268332</v>
      </c>
      <c r="K76" s="105">
        <f t="shared" si="5"/>
        <v>0.23316766855441284</v>
      </c>
      <c r="L76" s="145">
        <f t="shared" ref="L76" si="43">M76/(1+0.2332)</f>
        <v>4.3383068439831325</v>
      </c>
      <c r="M76" s="38">
        <v>5.35</v>
      </c>
      <c r="N76" s="106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</row>
    <row r="77" spans="1:44" s="2" customFormat="1" ht="13.2">
      <c r="A77" s="358" t="s">
        <v>347</v>
      </c>
      <c r="B77" s="136">
        <v>2419790</v>
      </c>
      <c r="C77" s="136" t="s">
        <v>155</v>
      </c>
      <c r="D77" s="163" t="s">
        <v>219</v>
      </c>
      <c r="E77" s="136" t="s">
        <v>7</v>
      </c>
      <c r="F77" s="144">
        <f>'MEMÓRIA DE CALCULO'!U229</f>
        <v>473.52599999999995</v>
      </c>
      <c r="G77" s="136"/>
      <c r="H77" s="143">
        <f t="shared" si="41"/>
        <v>12.541315189198379</v>
      </c>
      <c r="I77" s="377">
        <f>F77*H77</f>
        <v>5938.6388162803505</v>
      </c>
      <c r="J77" s="326">
        <f>L77*(1+K77)</f>
        <v>12.541315189198379</v>
      </c>
      <c r="K77" s="105">
        <f t="shared" si="5"/>
        <v>0.23316766855441284</v>
      </c>
      <c r="L77" s="106">
        <f>'2419790'!I32</f>
        <v>10.17</v>
      </c>
      <c r="M77" s="38"/>
      <c r="N77" s="106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</row>
    <row r="78" spans="1:44" s="2" customFormat="1" ht="13.2">
      <c r="A78" s="358" t="s">
        <v>348</v>
      </c>
      <c r="B78" s="104">
        <v>40808</v>
      </c>
      <c r="C78" s="102" t="s">
        <v>396</v>
      </c>
      <c r="D78" s="163" t="s">
        <v>220</v>
      </c>
      <c r="E78" s="104" t="s">
        <v>33</v>
      </c>
      <c r="F78" s="116">
        <f>'MEMÓRIA DE CALCULO'!U233</f>
        <v>47.352599999999995</v>
      </c>
      <c r="G78" s="120"/>
      <c r="H78" s="143">
        <f t="shared" si="41"/>
        <v>5.8205513955768282</v>
      </c>
      <c r="I78" s="377">
        <f>F78*H78</f>
        <v>275.61824201419131</v>
      </c>
      <c r="J78" s="326">
        <f>L78*(1+K78)</f>
        <v>5.8205513955768282</v>
      </c>
      <c r="K78" s="105">
        <f t="shared" si="5"/>
        <v>0.23316766855441284</v>
      </c>
      <c r="L78" s="134">
        <v>4.72</v>
      </c>
      <c r="M78" s="38"/>
      <c r="N78" s="106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</row>
    <row r="79" spans="1:44" s="2" customFormat="1" ht="13.2">
      <c r="A79" s="358" t="s">
        <v>349</v>
      </c>
      <c r="B79" s="107">
        <v>40376</v>
      </c>
      <c r="C79" s="102" t="s">
        <v>394</v>
      </c>
      <c r="D79" s="110" t="s">
        <v>151</v>
      </c>
      <c r="E79" s="104" t="s">
        <v>33</v>
      </c>
      <c r="F79" s="138">
        <f>'MEMÓRIA DE CALCULO'!U237</f>
        <v>71.028899999999993</v>
      </c>
      <c r="G79" s="120"/>
      <c r="H79" s="140">
        <f>J79</f>
        <v>13.299651306984829</v>
      </c>
      <c r="I79" s="415">
        <f>H79*F79</f>
        <v>944.65960271869471</v>
      </c>
      <c r="J79" s="315">
        <f t="shared" ref="J79:J81" si="44">L79+(L79*K79)</f>
        <v>13.299651306984829</v>
      </c>
      <c r="K79" s="105">
        <f t="shared" si="5"/>
        <v>0.23316766855441284</v>
      </c>
      <c r="L79" s="145">
        <f t="shared" ref="L79:L81" si="45">M79/(1+0.2332)</f>
        <v>10.784949724294519</v>
      </c>
      <c r="M79" s="88">
        <v>13.3</v>
      </c>
      <c r="N79" s="106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</row>
    <row r="80" spans="1:44" s="2" customFormat="1" ht="13.2">
      <c r="A80" s="358" t="s">
        <v>350</v>
      </c>
      <c r="B80" s="104">
        <v>40338</v>
      </c>
      <c r="C80" s="102" t="s">
        <v>394</v>
      </c>
      <c r="D80" s="163" t="s">
        <v>221</v>
      </c>
      <c r="E80" s="104" t="s">
        <v>182</v>
      </c>
      <c r="F80" s="116">
        <f>'MEMÓRIA DE CALCULO'!U240</f>
        <v>14.205779999999999</v>
      </c>
      <c r="G80" s="136"/>
      <c r="H80" s="143">
        <f t="shared" si="41"/>
        <v>39.93895287225368</v>
      </c>
      <c r="I80" s="377">
        <f>F80*H80</f>
        <v>567.36397793360379</v>
      </c>
      <c r="J80" s="315">
        <f t="shared" si="44"/>
        <v>39.93895287225368</v>
      </c>
      <c r="K80" s="105">
        <f t="shared" si="5"/>
        <v>0.23316766855441284</v>
      </c>
      <c r="L80" s="145">
        <f t="shared" si="45"/>
        <v>32.387285111903985</v>
      </c>
      <c r="M80" s="38">
        <v>39.94</v>
      </c>
      <c r="N80" s="106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</row>
    <row r="81" spans="1:44" s="2" customFormat="1" ht="13.2">
      <c r="A81" s="358" t="s">
        <v>351</v>
      </c>
      <c r="B81" s="104">
        <v>41201</v>
      </c>
      <c r="C81" s="102" t="s">
        <v>394</v>
      </c>
      <c r="D81" s="163" t="s">
        <v>213</v>
      </c>
      <c r="E81" s="104" t="s">
        <v>7</v>
      </c>
      <c r="F81" s="116">
        <f>'MEMÓRIA DE CALCULO'!U247</f>
        <v>47.352599999999995</v>
      </c>
      <c r="G81" s="136"/>
      <c r="H81" s="143">
        <f t="shared" si="41"/>
        <v>453.14811926866503</v>
      </c>
      <c r="I81" s="377">
        <f>F81*H81</f>
        <v>21457.741632481386</v>
      </c>
      <c r="J81" s="315">
        <f t="shared" si="44"/>
        <v>453.14811926866503</v>
      </c>
      <c r="K81" s="105">
        <f t="shared" ref="K81:K109" si="46">$F$8</f>
        <v>0.23316766855441284</v>
      </c>
      <c r="L81" s="145">
        <f t="shared" si="45"/>
        <v>367.46675316250406</v>
      </c>
      <c r="M81" s="38">
        <v>453.16</v>
      </c>
      <c r="N81" s="106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</row>
    <row r="82" spans="1:44" s="2" customFormat="1" ht="26.4">
      <c r="A82" s="358" t="s">
        <v>455</v>
      </c>
      <c r="B82" s="640" t="str">
        <f>REAJUSTE!B14</f>
        <v>3R 10 61 10 00 00 01 10 26</v>
      </c>
      <c r="C82" s="1176" t="str">
        <f>REAJUSTE!A14</f>
        <v>TCPO</v>
      </c>
      <c r="D82" s="1178" t="str">
        <f>REAJUSTE!C14</f>
        <v>Corte em concreto com discos diamantados para pisos e lajes profundidade de corte 5 cm</v>
      </c>
      <c r="E82" s="1174" t="str">
        <f>REAJUSTE!D14</f>
        <v>m</v>
      </c>
      <c r="F82" s="116">
        <f>'MEMÓRIA DE CALCULO'!U251</f>
        <v>23.676299999999998</v>
      </c>
      <c r="G82" s="120"/>
      <c r="H82" s="143">
        <f t="shared" si="41"/>
        <v>37.229331913657724</v>
      </c>
      <c r="I82" s="377">
        <f>F82*H82</f>
        <v>881.45283118733425</v>
      </c>
      <c r="J82" s="326">
        <f>L82*(1+K82)</f>
        <v>37.229331913657724</v>
      </c>
      <c r="K82" s="105">
        <f t="shared" si="46"/>
        <v>0.23316766855441284</v>
      </c>
      <c r="L82" s="134">
        <f>REAJUSTE!L14</f>
        <v>30.19</v>
      </c>
      <c r="M82" s="38"/>
      <c r="N82" s="106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</row>
    <row r="83" spans="1:44" s="2" customFormat="1" ht="14.4">
      <c r="A83" s="358" t="s">
        <v>456</v>
      </c>
      <c r="B83" s="437">
        <v>41233</v>
      </c>
      <c r="C83" s="102" t="s">
        <v>394</v>
      </c>
      <c r="D83" s="332" t="s">
        <v>226</v>
      </c>
      <c r="E83" s="136" t="s">
        <v>33</v>
      </c>
      <c r="F83" s="144">
        <f>'MEMÓRIA DE CALCULO'!U251</f>
        <v>23.676299999999998</v>
      </c>
      <c r="G83" s="135"/>
      <c r="H83" s="139">
        <f>J83</f>
        <v>764.36995958993475</v>
      </c>
      <c r="I83" s="418">
        <f>F83*H83</f>
        <v>18097.45247423917</v>
      </c>
      <c r="J83" s="326">
        <f t="shared" ref="J83:J97" si="47">L83*(1+K83)</f>
        <v>764.36995958993475</v>
      </c>
      <c r="K83" s="105">
        <f t="shared" si="46"/>
        <v>0.23316766855441284</v>
      </c>
      <c r="L83" s="38">
        <f>M83/(1+0.2332)</f>
        <v>619.84268569575079</v>
      </c>
      <c r="M83" s="38">
        <v>764.39</v>
      </c>
      <c r="N83" s="106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</row>
    <row r="84" spans="1:44" s="2" customFormat="1" ht="13.8" thickBot="1">
      <c r="A84" s="412" t="s">
        <v>457</v>
      </c>
      <c r="B84" s="436">
        <v>40390</v>
      </c>
      <c r="C84" s="367" t="s">
        <v>394</v>
      </c>
      <c r="D84" s="184" t="s">
        <v>153</v>
      </c>
      <c r="E84" s="112" t="s">
        <v>7</v>
      </c>
      <c r="F84" s="392">
        <f>'MEMÓRIA DE CALCULO'!U254</f>
        <v>3156.8399999999997</v>
      </c>
      <c r="G84" s="393"/>
      <c r="H84" s="394">
        <f>J84</f>
        <v>5.6098529197131493</v>
      </c>
      <c r="I84" s="419">
        <f>H84*F84</f>
        <v>17709.408091067256</v>
      </c>
      <c r="J84" s="315">
        <f t="shared" ref="J84" si="48">L84+(L84*K84)</f>
        <v>5.6098529197131493</v>
      </c>
      <c r="K84" s="105">
        <f t="shared" si="46"/>
        <v>0.23316766855441284</v>
      </c>
      <c r="L84" s="145">
        <f t="shared" ref="L84" si="49">M84/(1+0.2332)</f>
        <v>4.549140447615958</v>
      </c>
      <c r="M84" s="106">
        <v>5.61</v>
      </c>
      <c r="N84" s="106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</row>
    <row r="85" spans="1:44" s="2" customFormat="1" ht="13.8" thickBot="1">
      <c r="A85" s="321" t="s">
        <v>203</v>
      </c>
      <c r="B85" s="361"/>
      <c r="C85" s="361"/>
      <c r="D85" s="361" t="s">
        <v>340</v>
      </c>
      <c r="E85" s="361"/>
      <c r="F85" s="361"/>
      <c r="G85" s="361"/>
      <c r="H85" s="361"/>
      <c r="I85" s="324">
        <f>SUM(I86:I98)</f>
        <v>44970.078627613089</v>
      </c>
      <c r="J85" s="326"/>
      <c r="K85" s="105">
        <f t="shared" si="46"/>
        <v>0.23316766855441284</v>
      </c>
      <c r="L85" s="88"/>
      <c r="M85" s="88"/>
      <c r="N85" s="106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</row>
    <row r="86" spans="1:44" s="2" customFormat="1" ht="13.2">
      <c r="A86" s="411" t="s">
        <v>205</v>
      </c>
      <c r="B86" s="737" t="s">
        <v>410</v>
      </c>
      <c r="C86" s="738"/>
      <c r="D86" s="395" t="s">
        <v>409</v>
      </c>
      <c r="E86" s="396" t="s">
        <v>6</v>
      </c>
      <c r="F86" s="383">
        <f>'MEMÓRIA DE CALCULO'!U259</f>
        <v>7</v>
      </c>
      <c r="G86" s="397"/>
      <c r="H86" s="398">
        <f t="shared" ref="H86:H97" si="50">J86</f>
        <v>29.95832870632719</v>
      </c>
      <c r="I86" s="420">
        <f t="shared" ref="I86:I98" si="51">F86*H86</f>
        <v>209.70830094429033</v>
      </c>
      <c r="J86" s="326">
        <f t="shared" si="47"/>
        <v>29.95832870632719</v>
      </c>
      <c r="K86" s="105">
        <f t="shared" si="46"/>
        <v>0.23316766855441284</v>
      </c>
      <c r="L86" s="38">
        <f>COMP_05!L32</f>
        <v>24.293799999999997</v>
      </c>
      <c r="M86" s="38"/>
      <c r="N86" s="106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</row>
    <row r="87" spans="1:44" s="2" customFormat="1" ht="13.2">
      <c r="A87" s="358" t="s">
        <v>357</v>
      </c>
      <c r="B87" s="223">
        <v>41401</v>
      </c>
      <c r="C87" s="102" t="s">
        <v>394</v>
      </c>
      <c r="D87" s="110" t="s">
        <v>298</v>
      </c>
      <c r="E87" s="223" t="s">
        <v>7</v>
      </c>
      <c r="F87" s="138">
        <f>'MEMÓRIA DE CALCULO'!U262</f>
        <v>12</v>
      </c>
      <c r="G87" s="39"/>
      <c r="H87" s="142">
        <f t="shared" si="50"/>
        <v>7.0598149043092393</v>
      </c>
      <c r="I87" s="421">
        <f t="shared" si="51"/>
        <v>84.717778851710875</v>
      </c>
      <c r="J87" s="315">
        <f t="shared" ref="J87" si="52">L87+(L87*K87)</f>
        <v>7.0598149043092393</v>
      </c>
      <c r="K87" s="105">
        <f t="shared" si="46"/>
        <v>0.23316766855441284</v>
      </c>
      <c r="L87" s="145">
        <f t="shared" ref="L87" si="53">M87/(1+0.2332)</f>
        <v>5.7249432371067135</v>
      </c>
      <c r="M87" s="38">
        <v>7.06</v>
      </c>
      <c r="N87" s="106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</row>
    <row r="88" spans="1:44" s="2" customFormat="1" ht="13.2">
      <c r="A88" s="358" t="s">
        <v>458</v>
      </c>
      <c r="B88" s="223">
        <v>40636</v>
      </c>
      <c r="C88" s="102" t="s">
        <v>394</v>
      </c>
      <c r="D88" s="224" t="s">
        <v>352</v>
      </c>
      <c r="E88" s="223" t="s">
        <v>6</v>
      </c>
      <c r="F88" s="138">
        <f>'MEMÓRIA DE CALCULO'!U265</f>
        <v>7.1999999999999993</v>
      </c>
      <c r="G88" s="39"/>
      <c r="H88" s="142">
        <f t="shared" si="50"/>
        <v>38.888980400649622</v>
      </c>
      <c r="I88" s="421">
        <f t="shared" si="51"/>
        <v>280.00065888467725</v>
      </c>
      <c r="J88" s="315">
        <f t="shared" ref="J88" si="54">L88+(L88*K88)</f>
        <v>38.888980400649622</v>
      </c>
      <c r="K88" s="105">
        <f t="shared" si="46"/>
        <v>0.23316766855441284</v>
      </c>
      <c r="L88" s="145">
        <f t="shared" ref="L88" si="55">M88/(1+0.2332)</f>
        <v>31.535841712617579</v>
      </c>
      <c r="M88" s="38">
        <v>38.89</v>
      </c>
      <c r="N88" s="106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</row>
    <row r="89" spans="1:44" s="2" customFormat="1" ht="13.2">
      <c r="A89" s="358" t="s">
        <v>459</v>
      </c>
      <c r="B89" s="223">
        <v>40717</v>
      </c>
      <c r="C89" s="102" t="s">
        <v>394</v>
      </c>
      <c r="D89" s="224" t="s">
        <v>299</v>
      </c>
      <c r="E89" s="223" t="s">
        <v>147</v>
      </c>
      <c r="F89" s="138">
        <f>'MEMÓRIA DE CALCULO'!U268</f>
        <v>2.1</v>
      </c>
      <c r="G89" s="39"/>
      <c r="H89" s="142">
        <f t="shared" si="50"/>
        <v>157.69586549710579</v>
      </c>
      <c r="I89" s="421">
        <f t="shared" si="51"/>
        <v>331.16131754392217</v>
      </c>
      <c r="J89" s="315">
        <f t="shared" ref="J89" si="56">L89+(L89*K89)</f>
        <v>157.69586549710579</v>
      </c>
      <c r="K89" s="105">
        <f t="shared" si="46"/>
        <v>0.23316766855441284</v>
      </c>
      <c r="L89" s="145">
        <f t="shared" ref="L89" si="57">M89/(1+0.2332)</f>
        <v>127.87868958806355</v>
      </c>
      <c r="M89" s="38">
        <v>157.69999999999999</v>
      </c>
      <c r="N89" s="106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</row>
    <row r="90" spans="1:44" s="2" customFormat="1" ht="13.2">
      <c r="A90" s="358" t="s">
        <v>460</v>
      </c>
      <c r="B90" s="223">
        <v>40106</v>
      </c>
      <c r="C90" s="102" t="s">
        <v>394</v>
      </c>
      <c r="D90" s="224" t="s">
        <v>183</v>
      </c>
      <c r="E90" s="223" t="s">
        <v>147</v>
      </c>
      <c r="F90" s="138">
        <f>'MEMÓRIA DE CALCULO'!U271</f>
        <v>147</v>
      </c>
      <c r="G90" s="39"/>
      <c r="H90" s="142">
        <f t="shared" si="50"/>
        <v>17.939529657692319</v>
      </c>
      <c r="I90" s="421">
        <f t="shared" si="51"/>
        <v>2637.1108596807708</v>
      </c>
      <c r="J90" s="315">
        <f t="shared" ref="J90" si="58">L90+(L90*K90)</f>
        <v>17.939529657692319</v>
      </c>
      <c r="K90" s="105">
        <f t="shared" si="46"/>
        <v>0.23316766855441284</v>
      </c>
      <c r="L90" s="145">
        <f t="shared" ref="L90" si="59">M90/(1+0.2332)</f>
        <v>14.547518650664937</v>
      </c>
      <c r="M90" s="38">
        <v>17.940000000000001</v>
      </c>
      <c r="N90" s="106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</row>
    <row r="91" spans="1:44" s="2" customFormat="1" ht="13.2">
      <c r="A91" s="358" t="s">
        <v>461</v>
      </c>
      <c r="B91" s="223">
        <v>30211</v>
      </c>
      <c r="C91" s="102" t="s">
        <v>396</v>
      </c>
      <c r="D91" s="110" t="s">
        <v>353</v>
      </c>
      <c r="E91" s="223" t="s">
        <v>147</v>
      </c>
      <c r="F91" s="138">
        <f>'MEMÓRIA DE CALCULO'!U274</f>
        <v>147</v>
      </c>
      <c r="G91" s="39"/>
      <c r="H91" s="142">
        <f t="shared" si="50"/>
        <v>8.7924854767929634</v>
      </c>
      <c r="I91" s="421">
        <f t="shared" si="51"/>
        <v>1292.4953650885657</v>
      </c>
      <c r="J91" s="326">
        <f t="shared" si="47"/>
        <v>8.7924854767929634</v>
      </c>
      <c r="K91" s="105">
        <f t="shared" si="46"/>
        <v>0.23316766855441284</v>
      </c>
      <c r="L91" s="38">
        <v>7.13</v>
      </c>
      <c r="M91" s="38"/>
      <c r="N91" s="106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</row>
    <row r="92" spans="1:44" s="2" customFormat="1" ht="13.2">
      <c r="A92" s="358" t="s">
        <v>462</v>
      </c>
      <c r="B92" s="223">
        <v>40228</v>
      </c>
      <c r="C92" s="102" t="s">
        <v>394</v>
      </c>
      <c r="D92" s="224" t="s">
        <v>354</v>
      </c>
      <c r="E92" s="223" t="s">
        <v>147</v>
      </c>
      <c r="F92" s="138">
        <f>'MEMÓRIA DE CALCULO'!U277</f>
        <v>147</v>
      </c>
      <c r="G92" s="39"/>
      <c r="H92" s="142">
        <f t="shared" si="50"/>
        <v>7.9997902598404984</v>
      </c>
      <c r="I92" s="421">
        <f t="shared" si="51"/>
        <v>1175.9691681965533</v>
      </c>
      <c r="J92" s="315">
        <f t="shared" ref="J92" si="60">L92+(L92*K92)</f>
        <v>7.9997902598404984</v>
      </c>
      <c r="K92" s="105">
        <f t="shared" si="46"/>
        <v>0.23316766855441284</v>
      </c>
      <c r="L92" s="145">
        <f t="shared" ref="L92" si="61">M92/(1+0.2332)</f>
        <v>6.4871878040869282</v>
      </c>
      <c r="M92" s="38">
        <v>8</v>
      </c>
      <c r="N92" s="106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</row>
    <row r="93" spans="1:44" s="2" customFormat="1" ht="26.4">
      <c r="A93" s="358" t="s">
        <v>463</v>
      </c>
      <c r="B93" s="223">
        <v>40231</v>
      </c>
      <c r="C93" s="102" t="s">
        <v>396</v>
      </c>
      <c r="D93" s="224" t="s">
        <v>355</v>
      </c>
      <c r="E93" s="223" t="s">
        <v>7</v>
      </c>
      <c r="F93" s="138">
        <f>'MEMÓRIA DE CALCULO'!U280</f>
        <v>1.05</v>
      </c>
      <c r="G93" s="39"/>
      <c r="H93" s="142">
        <f t="shared" si="50"/>
        <v>830.89604339527773</v>
      </c>
      <c r="I93" s="421">
        <f t="shared" si="51"/>
        <v>872.44084556504163</v>
      </c>
      <c r="J93" s="326">
        <f t="shared" si="47"/>
        <v>830.89604339527773</v>
      </c>
      <c r="K93" s="105">
        <f t="shared" si="46"/>
        <v>0.23316766855441284</v>
      </c>
      <c r="L93" s="38">
        <v>673.79</v>
      </c>
      <c r="M93" s="38"/>
      <c r="N93" s="106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</row>
    <row r="94" spans="1:44" s="2" customFormat="1" ht="13.2">
      <c r="A94" s="358" t="s">
        <v>464</v>
      </c>
      <c r="B94" s="136">
        <v>108477</v>
      </c>
      <c r="C94" s="102" t="s">
        <v>394</v>
      </c>
      <c r="D94" s="108" t="s">
        <v>641</v>
      </c>
      <c r="E94" s="104" t="s">
        <v>147</v>
      </c>
      <c r="F94" s="144">
        <f>'MEMÓRIA DE CALCULO'!U283</f>
        <v>20.3</v>
      </c>
      <c r="G94" s="135"/>
      <c r="H94" s="139">
        <f>J94</f>
        <v>780.06</v>
      </c>
      <c r="I94" s="415">
        <f t="shared" ref="I94" si="62">H94*F94</f>
        <v>15835.217999999999</v>
      </c>
      <c r="J94" s="328">
        <f>L94+(L94*K94)</f>
        <v>780.06</v>
      </c>
      <c r="K94" s="105">
        <f t="shared" si="46"/>
        <v>0.23316766855441284</v>
      </c>
      <c r="L94" s="145">
        <f>M94/(1+K94)</f>
        <v>632.5660491200108</v>
      </c>
      <c r="M94" s="106">
        <v>780.06</v>
      </c>
      <c r="N94" s="106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</row>
    <row r="95" spans="1:44" s="2" customFormat="1" ht="13.2">
      <c r="A95" s="358" t="s">
        <v>465</v>
      </c>
      <c r="B95" s="107">
        <v>40376</v>
      </c>
      <c r="C95" s="102" t="s">
        <v>394</v>
      </c>
      <c r="D95" s="108" t="s">
        <v>151</v>
      </c>
      <c r="E95" s="104" t="s">
        <v>33</v>
      </c>
      <c r="F95" s="138">
        <f>'MEMÓRIA DE CALCULO'!U286</f>
        <v>359.09090909090907</v>
      </c>
      <c r="G95" s="331"/>
      <c r="H95" s="142">
        <f t="shared" si="50"/>
        <v>13.299651306984829</v>
      </c>
      <c r="I95" s="421">
        <f>H95*F95</f>
        <v>4775.7838784172791</v>
      </c>
      <c r="J95" s="315">
        <f t="shared" ref="J95" si="63">L95+(L95*K95)</f>
        <v>13.299651306984829</v>
      </c>
      <c r="K95" s="105">
        <f t="shared" si="46"/>
        <v>0.23316766855441284</v>
      </c>
      <c r="L95" s="145">
        <f t="shared" ref="L95" si="64">M95/(1+0.2332)</f>
        <v>10.784949724294519</v>
      </c>
      <c r="M95" s="38">
        <v>13.3</v>
      </c>
      <c r="N95" s="106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</row>
    <row r="96" spans="1:44" s="2" customFormat="1" ht="26.4">
      <c r="A96" s="358" t="s">
        <v>466</v>
      </c>
      <c r="B96" s="223">
        <v>40238</v>
      </c>
      <c r="C96" s="102" t="s">
        <v>396</v>
      </c>
      <c r="D96" s="224" t="s">
        <v>356</v>
      </c>
      <c r="E96" s="223" t="s">
        <v>7</v>
      </c>
      <c r="F96" s="138">
        <f>'MEMÓRIA DE CALCULO'!U289</f>
        <v>111</v>
      </c>
      <c r="G96" s="39"/>
      <c r="H96" s="142">
        <f t="shared" si="50"/>
        <v>98.875383664692833</v>
      </c>
      <c r="I96" s="421">
        <f t="shared" si="51"/>
        <v>10975.167586780904</v>
      </c>
      <c r="J96" s="326">
        <f t="shared" si="47"/>
        <v>98.875383664692833</v>
      </c>
      <c r="K96" s="105">
        <f t="shared" si="46"/>
        <v>0.23316766855441284</v>
      </c>
      <c r="L96" s="38">
        <v>80.180000000000007</v>
      </c>
      <c r="M96" s="38"/>
      <c r="N96" s="106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</row>
    <row r="97" spans="1:44" s="2" customFormat="1" ht="13.2">
      <c r="A97" s="358" t="s">
        <v>467</v>
      </c>
      <c r="B97" s="223">
        <v>100203</v>
      </c>
      <c r="C97" s="102" t="s">
        <v>396</v>
      </c>
      <c r="D97" s="163" t="s">
        <v>380</v>
      </c>
      <c r="E97" s="223" t="s">
        <v>7</v>
      </c>
      <c r="F97" s="138">
        <f>'MEMÓRIA DE CALCULO'!U294</f>
        <v>114.5</v>
      </c>
      <c r="G97" s="39"/>
      <c r="H97" s="142">
        <f t="shared" si="50"/>
        <v>55.751510295345007</v>
      </c>
      <c r="I97" s="421">
        <f t="shared" si="51"/>
        <v>6383.5479288170036</v>
      </c>
      <c r="J97" s="326">
        <f t="shared" si="47"/>
        <v>55.751510295345007</v>
      </c>
      <c r="K97" s="105">
        <f t="shared" si="46"/>
        <v>0.23316766855441284</v>
      </c>
      <c r="L97" s="38">
        <v>45.21</v>
      </c>
      <c r="M97" s="38"/>
      <c r="N97" s="106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</row>
    <row r="98" spans="1:44" s="2" customFormat="1" ht="13.8" thickBot="1">
      <c r="A98" s="412" t="s">
        <v>468</v>
      </c>
      <c r="B98" s="112">
        <v>41221</v>
      </c>
      <c r="C98" s="367" t="s">
        <v>394</v>
      </c>
      <c r="D98" s="310" t="s">
        <v>405</v>
      </c>
      <c r="E98" s="221" t="s">
        <v>7</v>
      </c>
      <c r="F98" s="392">
        <f>'MEMÓRIA DE CALCULO'!U300</f>
        <v>21</v>
      </c>
      <c r="G98" s="393"/>
      <c r="H98" s="394">
        <f>J98</f>
        <v>5.5598542305891456</v>
      </c>
      <c r="I98" s="419">
        <f t="shared" si="51"/>
        <v>116.75693884237205</v>
      </c>
      <c r="J98" s="326">
        <f t="shared" ref="J98" si="65">L98*(1+K98)</f>
        <v>5.5598542305891456</v>
      </c>
      <c r="K98" s="105">
        <f t="shared" si="46"/>
        <v>0.23316766855441284</v>
      </c>
      <c r="L98" s="38">
        <f>M98/(1+0.2332)</f>
        <v>4.5085955238404143</v>
      </c>
      <c r="M98" s="38">
        <v>5.56</v>
      </c>
      <c r="N98" s="106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</row>
    <row r="99" spans="1:44" s="2" customFormat="1" ht="13.8" thickBot="1">
      <c r="A99" s="321" t="s">
        <v>358</v>
      </c>
      <c r="B99" s="361"/>
      <c r="C99" s="361"/>
      <c r="D99" s="361" t="s">
        <v>227</v>
      </c>
      <c r="E99" s="361"/>
      <c r="F99" s="361"/>
      <c r="G99" s="361"/>
      <c r="H99" s="361"/>
      <c r="I99" s="399">
        <f>I100+I105</f>
        <v>108293.08074955823</v>
      </c>
      <c r="J99" s="315"/>
      <c r="K99" s="105">
        <f t="shared" si="46"/>
        <v>0.23316766855441284</v>
      </c>
      <c r="L99" s="145"/>
      <c r="M99" s="134"/>
      <c r="N99" s="106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</row>
    <row r="100" spans="1:44" s="2" customFormat="1" ht="13.8" thickBot="1">
      <c r="A100" s="403">
        <v>6.1</v>
      </c>
      <c r="B100" s="404"/>
      <c r="C100" s="404"/>
      <c r="D100" s="405" t="s">
        <v>228</v>
      </c>
      <c r="E100" s="406"/>
      <c r="F100" s="406"/>
      <c r="G100" s="406"/>
      <c r="H100" s="406"/>
      <c r="I100" s="407">
        <f>SUM(I101:I104)</f>
        <v>38768.903548849412</v>
      </c>
      <c r="J100" s="315"/>
      <c r="K100" s="105">
        <f t="shared" si="46"/>
        <v>0.23316766855441284</v>
      </c>
      <c r="L100" s="145"/>
      <c r="M100" s="134"/>
      <c r="N100" s="106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</row>
    <row r="101" spans="1:44" s="2" customFormat="1" ht="13.2">
      <c r="A101" s="374" t="s">
        <v>469</v>
      </c>
      <c r="B101" s="434">
        <v>42047</v>
      </c>
      <c r="C101" s="345" t="s">
        <v>394</v>
      </c>
      <c r="D101" s="346" t="s">
        <v>229</v>
      </c>
      <c r="E101" s="400" t="s">
        <v>152</v>
      </c>
      <c r="F101" s="348">
        <f>'MEMÓRIA DE CALCULO'!U305</f>
        <v>6</v>
      </c>
      <c r="G101" s="401"/>
      <c r="H101" s="402">
        <f t="shared" ref="H101:H109" si="66">J101</f>
        <v>56.598516088371525</v>
      </c>
      <c r="I101" s="422">
        <f t="shared" ref="I101:I109" si="67">H101*F101</f>
        <v>339.59109653022915</v>
      </c>
      <c r="J101" s="315">
        <f t="shared" ref="J101:J109" si="68">L101+(L101*K101)</f>
        <v>56.598516088371525</v>
      </c>
      <c r="K101" s="105">
        <f t="shared" si="46"/>
        <v>0.23316766855441284</v>
      </c>
      <c r="L101" s="145">
        <f t="shared" ref="L101:L109" si="69">M101/(1+0.2332)</f>
        <v>45.896853713915014</v>
      </c>
      <c r="M101" s="148">
        <v>56.6</v>
      </c>
      <c r="N101" s="106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</row>
    <row r="102" spans="1:44" s="2" customFormat="1" ht="13.2">
      <c r="A102" s="376" t="s">
        <v>470</v>
      </c>
      <c r="B102" s="107">
        <v>40937</v>
      </c>
      <c r="C102" s="102" t="s">
        <v>394</v>
      </c>
      <c r="D102" s="126" t="s">
        <v>230</v>
      </c>
      <c r="E102" s="104" t="s">
        <v>7</v>
      </c>
      <c r="F102" s="155">
        <f>'MEMÓRIA DE CALCULO'!U308</f>
        <v>32</v>
      </c>
      <c r="G102" s="147"/>
      <c r="H102" s="258">
        <f t="shared" si="66"/>
        <v>785.48940587591369</v>
      </c>
      <c r="I102" s="423">
        <f t="shared" si="67"/>
        <v>25135.660988029238</v>
      </c>
      <c r="J102" s="315">
        <f t="shared" si="68"/>
        <v>785.48940587591369</v>
      </c>
      <c r="K102" s="105">
        <f t="shared" si="46"/>
        <v>0.23316766855441284</v>
      </c>
      <c r="L102" s="145">
        <f t="shared" si="69"/>
        <v>636.96886149854038</v>
      </c>
      <c r="M102" s="148">
        <v>785.51</v>
      </c>
      <c r="N102" s="106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</row>
    <row r="103" spans="1:44" s="2" customFormat="1" ht="13.2">
      <c r="A103" s="424" t="s">
        <v>471</v>
      </c>
      <c r="B103" s="107">
        <v>41359</v>
      </c>
      <c r="C103" s="102" t="s">
        <v>394</v>
      </c>
      <c r="D103" s="126" t="s">
        <v>231</v>
      </c>
      <c r="E103" s="149" t="s">
        <v>6</v>
      </c>
      <c r="F103" s="155">
        <f>'MEMÓRIA DE CALCULO'!U311</f>
        <v>200</v>
      </c>
      <c r="G103" s="147"/>
      <c r="H103" s="258">
        <f t="shared" si="66"/>
        <v>30.429202200868296</v>
      </c>
      <c r="I103" s="423">
        <f t="shared" si="67"/>
        <v>6085.8404401736589</v>
      </c>
      <c r="J103" s="315">
        <f t="shared" si="68"/>
        <v>30.429202200868296</v>
      </c>
      <c r="K103" s="105">
        <f t="shared" si="46"/>
        <v>0.23316766855441284</v>
      </c>
      <c r="L103" s="145">
        <f t="shared" si="69"/>
        <v>24.675640609795654</v>
      </c>
      <c r="M103" s="132">
        <v>30.43</v>
      </c>
      <c r="N103" s="106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</row>
    <row r="104" spans="1:44" s="2" customFormat="1" ht="13.8" thickBot="1">
      <c r="A104" s="424" t="s">
        <v>492</v>
      </c>
      <c r="B104" s="457">
        <v>41202</v>
      </c>
      <c r="C104" s="102" t="s">
        <v>394</v>
      </c>
      <c r="D104" s="458" t="s">
        <v>491</v>
      </c>
      <c r="E104" s="459" t="s">
        <v>6</v>
      </c>
      <c r="F104" s="460">
        <f>'MEMÓRIA DE CALCULO'!U314</f>
        <v>200</v>
      </c>
      <c r="G104" s="461"/>
      <c r="H104" s="258">
        <f t="shared" si="66"/>
        <v>36.039055120581438</v>
      </c>
      <c r="I104" s="423">
        <f t="shared" si="67"/>
        <v>7207.8110241162876</v>
      </c>
      <c r="J104" s="315">
        <f t="shared" si="68"/>
        <v>36.039055120581438</v>
      </c>
      <c r="K104" s="105">
        <f t="shared" si="46"/>
        <v>0.23316766855441284</v>
      </c>
      <c r="L104" s="145">
        <f t="shared" si="69"/>
        <v>29.224781057411608</v>
      </c>
      <c r="M104" s="132">
        <v>36.04</v>
      </c>
      <c r="N104" s="106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</row>
    <row r="105" spans="1:44" s="2" customFormat="1" ht="13.8" thickBot="1">
      <c r="A105" s="403">
        <v>6.2</v>
      </c>
      <c r="B105" s="404"/>
      <c r="C105" s="404"/>
      <c r="D105" s="405" t="s">
        <v>232</v>
      </c>
      <c r="E105" s="406"/>
      <c r="F105" s="406"/>
      <c r="G105" s="406"/>
      <c r="H105" s="406"/>
      <c r="I105" s="407">
        <f>SUM(I106:I109)</f>
        <v>69524.177200708815</v>
      </c>
      <c r="J105" s="315"/>
      <c r="K105" s="105">
        <f t="shared" si="46"/>
        <v>0.23316766855441284</v>
      </c>
      <c r="L105" s="145"/>
      <c r="M105" s="134"/>
      <c r="N105" s="106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</row>
    <row r="106" spans="1:44" s="2" customFormat="1" ht="13.2">
      <c r="A106" s="374" t="s">
        <v>472</v>
      </c>
      <c r="B106" s="434">
        <v>40926</v>
      </c>
      <c r="C106" s="345" t="s">
        <v>394</v>
      </c>
      <c r="D106" s="346" t="s">
        <v>233</v>
      </c>
      <c r="E106" s="347" t="s">
        <v>7</v>
      </c>
      <c r="F106" s="348">
        <f>'MEMÓRIA DE CALCULO'!U318</f>
        <v>140</v>
      </c>
      <c r="G106" s="401"/>
      <c r="H106" s="402">
        <f t="shared" si="66"/>
        <v>29.679221864008248</v>
      </c>
      <c r="I106" s="422">
        <f t="shared" si="67"/>
        <v>4155.0910609611547</v>
      </c>
      <c r="J106" s="315">
        <f t="shared" si="68"/>
        <v>29.679221864008248</v>
      </c>
      <c r="K106" s="105">
        <f t="shared" si="46"/>
        <v>0.23316766855441284</v>
      </c>
      <c r="L106" s="145">
        <f t="shared" si="69"/>
        <v>24.067466753162503</v>
      </c>
      <c r="M106" s="132">
        <v>29.68</v>
      </c>
      <c r="N106" s="106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</row>
    <row r="107" spans="1:44" s="2" customFormat="1" ht="13.2">
      <c r="A107" s="376" t="s">
        <v>473</v>
      </c>
      <c r="B107" s="107">
        <v>42524</v>
      </c>
      <c r="C107" s="102" t="s">
        <v>394</v>
      </c>
      <c r="D107" s="126" t="s">
        <v>234</v>
      </c>
      <c r="E107" s="104" t="s">
        <v>7</v>
      </c>
      <c r="F107" s="155">
        <f>'MEMÓRIA DE CALCULO'!U321</f>
        <v>160</v>
      </c>
      <c r="G107" s="147"/>
      <c r="H107" s="258">
        <f t="shared" si="66"/>
        <v>105.20724165472735</v>
      </c>
      <c r="I107" s="423">
        <f t="shared" si="67"/>
        <v>16833.158664756378</v>
      </c>
      <c r="J107" s="315">
        <f t="shared" si="68"/>
        <v>105.20724165472735</v>
      </c>
      <c r="K107" s="105">
        <f t="shared" si="46"/>
        <v>0.23316766855441284</v>
      </c>
      <c r="L107" s="145">
        <f t="shared" si="69"/>
        <v>85.314628608498211</v>
      </c>
      <c r="M107" s="132">
        <v>105.21</v>
      </c>
      <c r="N107" s="106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</row>
    <row r="108" spans="1:44" s="2" customFormat="1" ht="13.2">
      <c r="A108" s="376" t="s">
        <v>474</v>
      </c>
      <c r="B108" s="107">
        <v>40936</v>
      </c>
      <c r="C108" s="102" t="s">
        <v>394</v>
      </c>
      <c r="D108" s="126" t="s">
        <v>235</v>
      </c>
      <c r="E108" s="104" t="s">
        <v>7</v>
      </c>
      <c r="F108" s="155">
        <f>'MEMÓRIA DE CALCULO'!U324</f>
        <v>40</v>
      </c>
      <c r="G108" s="147"/>
      <c r="H108" s="258">
        <f t="shared" si="66"/>
        <v>983.75420772823566</v>
      </c>
      <c r="I108" s="423">
        <f t="shared" si="67"/>
        <v>39350.168309129425</v>
      </c>
      <c r="J108" s="315">
        <f t="shared" si="68"/>
        <v>983.75420772823566</v>
      </c>
      <c r="K108" s="105">
        <f t="shared" si="46"/>
        <v>0.23316766855441284</v>
      </c>
      <c r="L108" s="145">
        <f t="shared" si="69"/>
        <v>797.74570223807973</v>
      </c>
      <c r="M108" s="132">
        <v>983.78</v>
      </c>
      <c r="N108" s="106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</row>
    <row r="109" spans="1:44" s="2" customFormat="1" ht="13.8" thickBot="1">
      <c r="A109" s="424" t="s">
        <v>475</v>
      </c>
      <c r="B109" s="436">
        <v>40935</v>
      </c>
      <c r="C109" s="367" t="s">
        <v>394</v>
      </c>
      <c r="D109" s="380" t="s">
        <v>236</v>
      </c>
      <c r="E109" s="408" t="s">
        <v>152</v>
      </c>
      <c r="F109" s="381">
        <f>'MEMÓRIA DE CALCULO'!U327</f>
        <v>100</v>
      </c>
      <c r="G109" s="409"/>
      <c r="H109" s="410">
        <f t="shared" si="66"/>
        <v>91.857591658618517</v>
      </c>
      <c r="I109" s="425">
        <f t="shared" si="67"/>
        <v>9185.7591658618512</v>
      </c>
      <c r="J109" s="315">
        <f t="shared" si="68"/>
        <v>91.857591658618517</v>
      </c>
      <c r="K109" s="105">
        <f t="shared" si="46"/>
        <v>0.23316766855441284</v>
      </c>
      <c r="L109" s="145">
        <f t="shared" si="69"/>
        <v>74.489133960428148</v>
      </c>
      <c r="M109" s="132">
        <v>91.86</v>
      </c>
      <c r="N109" s="106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</row>
    <row r="110" spans="1:44" s="2" customFormat="1" ht="13.8" thickBot="1">
      <c r="A110" s="321" t="s">
        <v>476</v>
      </c>
      <c r="B110" s="361"/>
      <c r="C110" s="361"/>
      <c r="D110" s="361" t="s">
        <v>204</v>
      </c>
      <c r="E110" s="361"/>
      <c r="F110" s="361"/>
      <c r="G110" s="361"/>
      <c r="H110" s="361"/>
      <c r="I110" s="399">
        <f>SUM(I111:I111)</f>
        <v>345272.00236414553</v>
      </c>
      <c r="J110" s="315"/>
      <c r="K110" s="105"/>
      <c r="L110" s="134"/>
      <c r="M110" s="134"/>
      <c r="N110" s="106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</row>
    <row r="111" spans="1:44" s="2" customFormat="1" ht="13.8" thickBot="1">
      <c r="A111" s="426">
        <v>7.1</v>
      </c>
      <c r="B111" s="736"/>
      <c r="C111" s="736"/>
      <c r="D111" s="427" t="s">
        <v>206</v>
      </c>
      <c r="E111" s="428" t="s">
        <v>149</v>
      </c>
      <c r="F111" s="429">
        <v>1</v>
      </c>
      <c r="G111" s="430">
        <v>6.9900000000000004E-2</v>
      </c>
      <c r="H111" s="431" t="s">
        <v>207</v>
      </c>
      <c r="I111" s="432">
        <f>I117</f>
        <v>345272.00236414553</v>
      </c>
      <c r="J111" s="315"/>
      <c r="K111" s="105"/>
      <c r="L111" s="134"/>
      <c r="M111" s="134"/>
      <c r="N111" s="106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</row>
    <row r="112" spans="1:44" ht="13.8" thickBot="1">
      <c r="A112" s="732" t="s">
        <v>8</v>
      </c>
      <c r="B112" s="733"/>
      <c r="C112" s="733"/>
      <c r="D112" s="733"/>
      <c r="E112" s="733"/>
      <c r="F112" s="733"/>
      <c r="G112" s="733"/>
      <c r="H112" s="733"/>
      <c r="I112" s="504">
        <f>I110+I99+I85+I14+I35+I68+I11</f>
        <v>5284785.6270300327</v>
      </c>
      <c r="J112" s="329"/>
      <c r="K112" s="89"/>
      <c r="L112" s="88"/>
      <c r="M112" s="88"/>
      <c r="N112" s="38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</row>
    <row r="113" spans="8:44" ht="15" customHeight="1">
      <c r="I113" s="26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</row>
    <row r="114" spans="8:44" ht="15" customHeight="1">
      <c r="H114" s="86">
        <v>6.9900000000000004E-2</v>
      </c>
      <c r="I114" s="261">
        <f>I112*H114</f>
        <v>369406.51532939932</v>
      </c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</row>
    <row r="115" spans="8:44" ht="15" customHeight="1">
      <c r="H115" s="87"/>
      <c r="I115" s="261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</row>
    <row r="116" spans="8:44" ht="15" customHeight="1">
      <c r="I116" s="260">
        <f>I11+I14+I35+I68+I85+I99</f>
        <v>4939513.6246658871</v>
      </c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</row>
    <row r="117" spans="8:44" ht="15" customHeight="1">
      <c r="H117" s="1180">
        <v>6.9900000000000004E-2</v>
      </c>
      <c r="I117" s="9">
        <f>I116*H117</f>
        <v>345272.00236414553</v>
      </c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</row>
    <row r="118" spans="8:44" ht="15" customHeight="1"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</row>
    <row r="119" spans="8:44" ht="15" customHeight="1"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</row>
    <row r="120" spans="8:44" ht="15" customHeight="1"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</row>
    <row r="121" spans="8:44" ht="15" customHeight="1"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</row>
    <row r="122" spans="8:44" ht="15" customHeight="1"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</row>
    <row r="123" spans="8:44" ht="15" customHeight="1"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</row>
    <row r="124" spans="8:44" ht="15" customHeight="1"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</row>
    <row r="125" spans="8:44" ht="15" customHeight="1"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</row>
    <row r="126" spans="8:44" ht="15" customHeight="1"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</row>
    <row r="127" spans="8:44" ht="15" customHeight="1"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</row>
  </sheetData>
  <autoFilter ref="C1:C127" xr:uid="{00000000-0001-0000-0100-000000000000}"/>
  <mergeCells count="23">
    <mergeCell ref="A5:B5"/>
    <mergeCell ref="C6:D6"/>
    <mergeCell ref="A8:B8"/>
    <mergeCell ref="A9:A10"/>
    <mergeCell ref="B9:B10"/>
    <mergeCell ref="D9:D10"/>
    <mergeCell ref="J8:M8"/>
    <mergeCell ref="J9:M9"/>
    <mergeCell ref="G9:G10"/>
    <mergeCell ref="I9:I10"/>
    <mergeCell ref="C8:D8"/>
    <mergeCell ref="F9:F10"/>
    <mergeCell ref="H9:H10"/>
    <mergeCell ref="E9:E10"/>
    <mergeCell ref="B62:C62"/>
    <mergeCell ref="A112:H112"/>
    <mergeCell ref="C9:C10"/>
    <mergeCell ref="B59:C59"/>
    <mergeCell ref="B67:C67"/>
    <mergeCell ref="B111:C111"/>
    <mergeCell ref="B66:C66"/>
    <mergeCell ref="B86:C86"/>
    <mergeCell ref="B13:C13"/>
  </mergeCells>
  <phoneticPr fontId="8" type="noConversion"/>
  <printOptions horizontalCentered="1"/>
  <pageMargins left="0.25" right="0.25" top="0.75" bottom="0.75" header="0.3" footer="0.3"/>
  <pageSetup paperSize="9" scale="74" fitToHeight="0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  <pageSetUpPr fitToPage="1"/>
  </sheetPr>
  <dimension ref="A1:DJ338"/>
  <sheetViews>
    <sheetView showGridLines="0" view="pageBreakPreview" zoomScale="70" zoomScaleNormal="100" zoomScaleSheetLayoutView="70" workbookViewId="0">
      <pane ySplit="7" topLeftCell="A311" activePane="bottomLeft" state="frozen"/>
      <selection pane="bottomLeft" activeCell="A330" sqref="A330:XFD333"/>
    </sheetView>
  </sheetViews>
  <sheetFormatPr defaultColWidth="8.88671875" defaultRowHeight="13.2"/>
  <cols>
    <col min="1" max="1" width="30.5546875" style="22" customWidth="1"/>
    <col min="2" max="2" width="63.109375" style="22" customWidth="1"/>
    <col min="3" max="3" width="9.5546875" style="68" bestFit="1" customWidth="1"/>
    <col min="4" max="4" width="8.88671875" style="68" bestFit="1" customWidth="1"/>
    <col min="5" max="5" width="10.33203125" style="68" bestFit="1" customWidth="1"/>
    <col min="6" max="6" width="11" style="68" bestFit="1" customWidth="1"/>
    <col min="7" max="7" width="7.109375" style="68" bestFit="1" customWidth="1"/>
    <col min="8" max="8" width="9.33203125" style="68" bestFit="1" customWidth="1"/>
    <col min="9" max="9" width="13.6640625" style="68" bestFit="1" customWidth="1"/>
    <col min="10" max="12" width="9" style="68" customWidth="1"/>
    <col min="13" max="13" width="5.5546875" style="68" bestFit="1" customWidth="1"/>
    <col min="14" max="14" width="5.5546875" style="68" customWidth="1"/>
    <col min="15" max="15" width="15" style="68" customWidth="1"/>
    <col min="16" max="16" width="13.88671875" style="68" bestFit="1" customWidth="1"/>
    <col min="17" max="17" width="9.6640625" style="68" bestFit="1" customWidth="1"/>
    <col min="18" max="18" width="14" style="68" bestFit="1" customWidth="1"/>
    <col min="19" max="19" width="15.33203125" style="68" bestFit="1" customWidth="1"/>
    <col min="20" max="20" width="14.109375" style="71" bestFit="1" customWidth="1"/>
    <col min="21" max="21" width="14.109375" style="77" customWidth="1"/>
    <col min="22" max="22" width="30" style="27" hidden="1" customWidth="1"/>
    <col min="23" max="23" width="70.5546875" style="27" hidden="1" customWidth="1"/>
    <col min="24" max="24" width="0" style="27" hidden="1" customWidth="1"/>
    <col min="25" max="16384" width="8.88671875" style="27"/>
  </cols>
  <sheetData>
    <row r="1" spans="1:24" ht="23.25" customHeight="1">
      <c r="A1" s="281"/>
      <c r="B1" s="282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4"/>
      <c r="U1" s="22"/>
    </row>
    <row r="2" spans="1:24" ht="17.399999999999999">
      <c r="A2" s="285"/>
      <c r="B2" s="505" t="s">
        <v>70</v>
      </c>
      <c r="C2" s="11"/>
      <c r="O2" s="11"/>
      <c r="P2" s="11"/>
      <c r="Q2" s="11"/>
      <c r="R2" s="11"/>
      <c r="S2" s="11"/>
      <c r="T2" s="286"/>
      <c r="U2" s="70"/>
    </row>
    <row r="3" spans="1:24">
      <c r="A3" s="287" t="str">
        <f>'PLANILHA '!A5</f>
        <v xml:space="preserve">OBRA: </v>
      </c>
      <c r="B3" s="506" t="str">
        <f>RESUMO!B3</f>
        <v>O.A.E. PONTE - 71,10 m</v>
      </c>
      <c r="C3" s="507"/>
      <c r="D3" s="507"/>
      <c r="T3" s="288"/>
      <c r="U3" s="22"/>
    </row>
    <row r="4" spans="1:24" ht="26.4">
      <c r="A4" s="285" t="str">
        <f>'PLANILHA '!A6</f>
        <v xml:space="preserve">LOCAL: </v>
      </c>
      <c r="B4" s="508" t="str">
        <f>RESUMO!B4</f>
        <v>PONTE SOBRE O RIO SANTA MARIA DO RIO DOCE, SÃO ROQUE DO CANAÃ-ES</v>
      </c>
      <c r="C4" s="509"/>
      <c r="D4" s="509"/>
      <c r="E4" s="509"/>
      <c r="F4" s="509"/>
      <c r="G4" s="11"/>
      <c r="H4" s="11"/>
      <c r="I4" s="507"/>
      <c r="J4" s="507"/>
      <c r="K4" s="507"/>
      <c r="L4" s="507"/>
      <c r="M4" s="507"/>
      <c r="N4" s="507"/>
      <c r="O4" s="507"/>
      <c r="P4" s="507"/>
      <c r="Q4" s="507"/>
      <c r="R4" s="507"/>
      <c r="S4" s="507"/>
      <c r="T4" s="289"/>
      <c r="U4" s="69"/>
    </row>
    <row r="5" spans="1:24">
      <c r="A5" s="285"/>
      <c r="B5" s="510"/>
      <c r="C5" s="511"/>
      <c r="D5" s="511"/>
      <c r="E5" s="71"/>
      <c r="F5" s="511"/>
      <c r="G5" s="511"/>
      <c r="H5" s="5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286"/>
      <c r="U5" s="70"/>
    </row>
    <row r="6" spans="1:24">
      <c r="A6" s="285" t="str">
        <f>RESUMO!A6</f>
        <v xml:space="preserve">ORÇAMENTISTA: </v>
      </c>
      <c r="B6" s="801" t="str">
        <f>RESUMO!B6</f>
        <v>Luiz Araujo de Souza Junior  - CREA: RJ-2021102768/D - Visto 20210452/ES</v>
      </c>
      <c r="C6" s="802"/>
      <c r="D6" s="802"/>
      <c r="E6" s="802"/>
      <c r="F6" s="802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286"/>
      <c r="U6" s="11"/>
    </row>
    <row r="7" spans="1:24" ht="28.2" thickBot="1">
      <c r="A7" s="290" t="s">
        <v>71</v>
      </c>
      <c r="B7" s="44" t="s">
        <v>72</v>
      </c>
      <c r="C7" s="44" t="s">
        <v>122</v>
      </c>
      <c r="D7" s="44" t="s">
        <v>73</v>
      </c>
      <c r="E7" s="44" t="s">
        <v>34</v>
      </c>
      <c r="F7" s="44" t="s">
        <v>127</v>
      </c>
      <c r="G7" s="44" t="s">
        <v>128</v>
      </c>
      <c r="H7" s="44" t="s">
        <v>129</v>
      </c>
      <c r="I7" s="44" t="s">
        <v>130</v>
      </c>
      <c r="J7" s="44" t="s">
        <v>169</v>
      </c>
      <c r="K7" s="44" t="s">
        <v>170</v>
      </c>
      <c r="L7" s="44" t="s">
        <v>171</v>
      </c>
      <c r="M7" s="44" t="s">
        <v>74</v>
      </c>
      <c r="N7" s="44" t="s">
        <v>83</v>
      </c>
      <c r="O7" s="44" t="s">
        <v>131</v>
      </c>
      <c r="P7" s="44" t="s">
        <v>132</v>
      </c>
      <c r="Q7" s="44" t="s">
        <v>121</v>
      </c>
      <c r="R7" s="44" t="s">
        <v>133</v>
      </c>
      <c r="S7" s="44" t="s">
        <v>28</v>
      </c>
      <c r="T7" s="291" t="s">
        <v>10</v>
      </c>
      <c r="U7" s="72"/>
      <c r="V7" s="797" t="s">
        <v>88</v>
      </c>
      <c r="W7" s="798"/>
      <c r="X7" s="798"/>
    </row>
    <row r="8" spans="1:24" ht="13.8" thickBot="1">
      <c r="A8" s="292" t="str">
        <f>'PLANILHA '!A11</f>
        <v>1</v>
      </c>
      <c r="B8" s="111" t="str">
        <f>'PLANILHA '!D11</f>
        <v>SERVIÇOS PRELIMINARES</v>
      </c>
      <c r="C8" s="85"/>
      <c r="D8" s="85"/>
      <c r="E8" s="279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93"/>
      <c r="U8" s="72"/>
      <c r="V8" s="797"/>
      <c r="W8" s="798"/>
      <c r="X8" s="798"/>
    </row>
    <row r="9" spans="1:24" ht="13.8" thickBot="1">
      <c r="A9" s="761" t="str">
        <f>'PLANILHA '!A12</f>
        <v>1.1</v>
      </c>
      <c r="B9" s="762" t="str">
        <f>'PLANILHA '!D12</f>
        <v>PROJETO ESTRUTURAL FINAL DE ENGENHARIA DE OBRAS-DE-ARTE ESPECIAIS (PONTES,VIADUTOS E PASSARELAS) EM CONCRETO ARMADO E/OU PROTENDIDO OU ESTRUTURA DE ACO,COM AREA DE PROJECAO HORIZONTAL DE 501 ATE 5.000M2,APRESENTADO NOS PADROES DA CONTRATANTEObservacao: 9% - DESPESAS ADMINISTRATIVAS E DE MATERIAIS</v>
      </c>
      <c r="C9" s="783"/>
      <c r="D9" s="783"/>
      <c r="E9" s="783"/>
      <c r="F9" s="783"/>
      <c r="G9" s="783"/>
      <c r="H9" s="783"/>
      <c r="I9" s="783"/>
      <c r="J9" s="783"/>
      <c r="K9" s="783"/>
      <c r="L9" s="783"/>
      <c r="M9" s="783"/>
      <c r="N9" s="783"/>
      <c r="O9" s="783"/>
      <c r="P9" s="783"/>
      <c r="Q9" s="783"/>
      <c r="R9" s="784"/>
      <c r="S9" s="777" t="str">
        <f>'PLANILHA '!E12</f>
        <v>M2</v>
      </c>
      <c r="T9" s="765">
        <f>SUM(R10:R11)</f>
        <v>803.43</v>
      </c>
      <c r="U9" s="84">
        <f>T9</f>
        <v>803.43</v>
      </c>
      <c r="V9" s="797"/>
      <c r="W9" s="798"/>
      <c r="X9" s="798"/>
    </row>
    <row r="10" spans="1:24">
      <c r="A10" s="755"/>
      <c r="B10" s="110" t="s">
        <v>479</v>
      </c>
      <c r="C10" s="104"/>
      <c r="D10" s="104"/>
      <c r="E10" s="104"/>
      <c r="F10" s="118">
        <v>71.099999999999994</v>
      </c>
      <c r="G10" s="118">
        <v>11.3</v>
      </c>
      <c r="H10" s="104"/>
      <c r="I10" s="104"/>
      <c r="J10" s="104"/>
      <c r="K10" s="104"/>
      <c r="L10" s="104"/>
      <c r="M10" s="104"/>
      <c r="N10" s="104"/>
      <c r="O10" s="116">
        <f>F10*G10</f>
        <v>803.43</v>
      </c>
      <c r="P10" s="104"/>
      <c r="Q10" s="104"/>
      <c r="R10" s="116">
        <f>O10</f>
        <v>803.43</v>
      </c>
      <c r="S10" s="778"/>
      <c r="T10" s="760"/>
      <c r="U10" s="72"/>
      <c r="V10" s="797"/>
      <c r="W10" s="798"/>
      <c r="X10" s="798"/>
    </row>
    <row r="11" spans="1:24" ht="13.8" thickBot="1">
      <c r="A11" s="773"/>
      <c r="B11" s="278"/>
      <c r="C11" s="113"/>
      <c r="D11" s="113"/>
      <c r="E11" s="113"/>
      <c r="F11" s="128"/>
      <c r="G11" s="128"/>
      <c r="H11" s="113"/>
      <c r="I11" s="113"/>
      <c r="J11" s="113"/>
      <c r="K11" s="113"/>
      <c r="L11" s="113"/>
      <c r="M11" s="113"/>
      <c r="N11" s="113"/>
      <c r="O11" s="124"/>
      <c r="P11" s="113"/>
      <c r="Q11" s="113"/>
      <c r="R11" s="124"/>
      <c r="S11" s="779"/>
      <c r="T11" s="772"/>
      <c r="U11" s="72"/>
      <c r="V11" s="797"/>
      <c r="W11" s="798"/>
      <c r="X11" s="798"/>
    </row>
    <row r="12" spans="1:24" ht="13.8" thickBot="1">
      <c r="A12" s="761" t="str">
        <f>'PLANILHA '!A13</f>
        <v>1.2</v>
      </c>
      <c r="B12" s="762" t="str">
        <f>'PLANILHA '!D13</f>
        <v>Inspeção das fundações da ponte</v>
      </c>
      <c r="C12" s="783"/>
      <c r="D12" s="783"/>
      <c r="E12" s="783"/>
      <c r="F12" s="783"/>
      <c r="G12" s="783"/>
      <c r="H12" s="783"/>
      <c r="I12" s="783"/>
      <c r="J12" s="783"/>
      <c r="K12" s="783"/>
      <c r="L12" s="783"/>
      <c r="M12" s="783"/>
      <c r="N12" s="783"/>
      <c r="O12" s="783"/>
      <c r="P12" s="783"/>
      <c r="Q12" s="783"/>
      <c r="R12" s="784"/>
      <c r="S12" s="777" t="str">
        <f>'PLANILHA '!E13</f>
        <v>Und</v>
      </c>
      <c r="T12" s="765">
        <f>R13</f>
        <v>2</v>
      </c>
      <c r="U12" s="84">
        <f>T12</f>
        <v>2</v>
      </c>
      <c r="V12" s="797"/>
      <c r="W12" s="798"/>
      <c r="X12" s="798"/>
    </row>
    <row r="13" spans="1:24">
      <c r="A13" s="755"/>
      <c r="B13" s="110"/>
      <c r="C13" s="104"/>
      <c r="D13" s="104">
        <v>2</v>
      </c>
      <c r="E13" s="104"/>
      <c r="F13" s="118"/>
      <c r="G13" s="118"/>
      <c r="H13" s="104"/>
      <c r="I13" s="104"/>
      <c r="J13" s="104"/>
      <c r="K13" s="104"/>
      <c r="L13" s="104"/>
      <c r="M13" s="104"/>
      <c r="N13" s="104"/>
      <c r="O13" s="116"/>
      <c r="P13" s="104"/>
      <c r="Q13" s="104"/>
      <c r="R13" s="116">
        <f>D13</f>
        <v>2</v>
      </c>
      <c r="S13" s="778"/>
      <c r="T13" s="760"/>
      <c r="U13" s="72"/>
      <c r="V13" s="797"/>
      <c r="W13" s="798"/>
      <c r="X13" s="798"/>
    </row>
    <row r="14" spans="1:24" ht="13.8" thickBot="1">
      <c r="A14" s="773"/>
      <c r="B14" s="110"/>
      <c r="C14" s="104"/>
      <c r="D14" s="104"/>
      <c r="E14" s="104"/>
      <c r="F14" s="118"/>
      <c r="G14" s="118"/>
      <c r="H14" s="104"/>
      <c r="I14" s="104"/>
      <c r="J14" s="104"/>
      <c r="K14" s="104"/>
      <c r="L14" s="104"/>
      <c r="M14" s="104"/>
      <c r="N14" s="104"/>
      <c r="O14" s="116"/>
      <c r="P14" s="104"/>
      <c r="Q14" s="104"/>
      <c r="R14" s="116"/>
      <c r="S14" s="779"/>
      <c r="T14" s="772"/>
      <c r="U14" s="72"/>
      <c r="V14" s="797"/>
      <c r="W14" s="798"/>
      <c r="X14" s="798"/>
    </row>
    <row r="15" spans="1:24" ht="13.8" thickBot="1">
      <c r="A15" s="292" t="str">
        <f>'PLANILHA '!A14</f>
        <v>2</v>
      </c>
      <c r="B15" s="318" t="str">
        <f>'PLANILHA '!D14</f>
        <v>CANTEIRO DE OBRA</v>
      </c>
      <c r="C15" s="319"/>
      <c r="D15" s="319"/>
      <c r="E15" s="320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280"/>
      <c r="T15" s="293"/>
      <c r="U15" s="73"/>
      <c r="V15" s="797"/>
      <c r="W15" s="798"/>
      <c r="X15" s="798"/>
    </row>
    <row r="16" spans="1:24" ht="13.95" customHeight="1" thickBot="1">
      <c r="A16" s="761" t="str">
        <f>'PLANILHA '!A15</f>
        <v>2.1</v>
      </c>
      <c r="B16" s="762" t="str">
        <f>'PLANILHA '!D15</f>
        <v>Limpeza, desmatamento e destocamento de árvores com diâmetro até 15 cm, com trator de esteira</v>
      </c>
      <c r="C16" s="783"/>
      <c r="D16" s="783"/>
      <c r="E16" s="783"/>
      <c r="F16" s="783"/>
      <c r="G16" s="783"/>
      <c r="H16" s="783"/>
      <c r="I16" s="783"/>
      <c r="J16" s="783"/>
      <c r="K16" s="783"/>
      <c r="L16" s="783"/>
      <c r="M16" s="783"/>
      <c r="N16" s="783"/>
      <c r="O16" s="783"/>
      <c r="P16" s="783"/>
      <c r="Q16" s="783"/>
      <c r="R16" s="784"/>
      <c r="S16" s="777" t="str">
        <f>'PLANILHA '!E15</f>
        <v>m²</v>
      </c>
      <c r="T16" s="765">
        <f>SUM(R17:R18)</f>
        <v>682.5</v>
      </c>
      <c r="U16" s="84">
        <f>T16</f>
        <v>682.5</v>
      </c>
      <c r="V16" s="21"/>
      <c r="W16" s="21"/>
      <c r="X16" s="74"/>
    </row>
    <row r="17" spans="1:24">
      <c r="A17" s="755"/>
      <c r="B17" s="110" t="s">
        <v>320</v>
      </c>
      <c r="C17" s="104"/>
      <c r="D17" s="104"/>
      <c r="E17" s="104"/>
      <c r="F17" s="118">
        <v>30</v>
      </c>
      <c r="G17" s="118">
        <v>35</v>
      </c>
      <c r="H17" s="104"/>
      <c r="I17" s="104"/>
      <c r="J17" s="104"/>
      <c r="K17" s="104"/>
      <c r="L17" s="104"/>
      <c r="M17" s="104"/>
      <c r="N17" s="104"/>
      <c r="O17" s="116">
        <f>F17*G17*0.65</f>
        <v>682.5</v>
      </c>
      <c r="P17" s="104"/>
      <c r="Q17" s="104"/>
      <c r="R17" s="116">
        <f>O17</f>
        <v>682.5</v>
      </c>
      <c r="S17" s="778"/>
      <c r="T17" s="760"/>
      <c r="U17" s="75"/>
      <c r="V17" s="22" t="s">
        <v>119</v>
      </c>
      <c r="W17" s="22"/>
      <c r="X17" s="76"/>
    </row>
    <row r="18" spans="1:24" ht="13.8" thickBot="1">
      <c r="A18" s="773"/>
      <c r="B18" s="278"/>
      <c r="C18" s="113"/>
      <c r="D18" s="113"/>
      <c r="E18" s="113"/>
      <c r="F18" s="128"/>
      <c r="G18" s="128"/>
      <c r="H18" s="113"/>
      <c r="I18" s="113"/>
      <c r="J18" s="113"/>
      <c r="K18" s="113"/>
      <c r="L18" s="113"/>
      <c r="M18" s="113"/>
      <c r="N18" s="113"/>
      <c r="O18" s="124"/>
      <c r="P18" s="113"/>
      <c r="Q18" s="113"/>
      <c r="R18" s="124"/>
      <c r="S18" s="779"/>
      <c r="T18" s="772"/>
      <c r="U18" s="75"/>
      <c r="V18" s="22"/>
      <c r="W18" s="22"/>
      <c r="X18" s="76"/>
    </row>
    <row r="19" spans="1:24" ht="13.95" customHeight="1" thickBot="1">
      <c r="A19" s="761" t="str">
        <f>'PLANILHA '!A16</f>
        <v>2.2</v>
      </c>
      <c r="B19" s="762" t="str">
        <f>'PLANILHA '!D16</f>
        <v>Hidrossemeadura simples em terrenos planos</v>
      </c>
      <c r="C19" s="783"/>
      <c r="D19" s="783"/>
      <c r="E19" s="783"/>
      <c r="F19" s="783"/>
      <c r="G19" s="783"/>
      <c r="H19" s="783"/>
      <c r="I19" s="783"/>
      <c r="J19" s="783"/>
      <c r="K19" s="783"/>
      <c r="L19" s="783"/>
      <c r="M19" s="783"/>
      <c r="N19" s="783"/>
      <c r="O19" s="783"/>
      <c r="P19" s="783"/>
      <c r="Q19" s="783"/>
      <c r="R19" s="784"/>
      <c r="S19" s="777" t="str">
        <f>'PLANILHA '!E16</f>
        <v>m²</v>
      </c>
      <c r="T19" s="780">
        <f>SUM(R20:R21)</f>
        <v>682.5</v>
      </c>
      <c r="U19" s="84">
        <f>T19</f>
        <v>682.5</v>
      </c>
      <c r="V19" s="21"/>
      <c r="W19" s="21"/>
      <c r="X19" s="74"/>
    </row>
    <row r="20" spans="1:24">
      <c r="A20" s="755"/>
      <c r="B20" s="110" t="s">
        <v>321</v>
      </c>
      <c r="C20" s="104"/>
      <c r="D20" s="104"/>
      <c r="E20" s="104"/>
      <c r="F20" s="118">
        <v>30</v>
      </c>
      <c r="G20" s="118">
        <v>35</v>
      </c>
      <c r="H20" s="104"/>
      <c r="I20" s="104"/>
      <c r="J20" s="104"/>
      <c r="K20" s="104"/>
      <c r="L20" s="104"/>
      <c r="M20" s="104"/>
      <c r="N20" s="104"/>
      <c r="O20" s="116">
        <f>F20*G20*0.65</f>
        <v>682.5</v>
      </c>
      <c r="P20" s="104"/>
      <c r="Q20" s="104"/>
      <c r="R20" s="116">
        <f>O20</f>
        <v>682.5</v>
      </c>
      <c r="S20" s="778"/>
      <c r="T20" s="781"/>
      <c r="U20" s="75"/>
      <c r="V20" s="22" t="s">
        <v>119</v>
      </c>
      <c r="W20" s="22"/>
      <c r="X20" s="76"/>
    </row>
    <row r="21" spans="1:24" ht="13.8" thickBot="1">
      <c r="A21" s="773"/>
      <c r="B21" s="113"/>
      <c r="C21" s="113"/>
      <c r="D21" s="113"/>
      <c r="E21" s="113"/>
      <c r="F21" s="113"/>
      <c r="G21" s="113"/>
      <c r="H21" s="114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779"/>
      <c r="T21" s="782"/>
      <c r="U21" s="75"/>
      <c r="V21" s="22" t="s">
        <v>120</v>
      </c>
      <c r="W21" s="22"/>
      <c r="X21" s="76"/>
    </row>
    <row r="22" spans="1:24" ht="13.8" thickBot="1">
      <c r="A22" s="761" t="str">
        <f>'PLANILHA '!A17</f>
        <v>2.3</v>
      </c>
      <c r="B22" s="769" t="str">
        <f>'PLANILHA '!D17</f>
        <v>Aluguel de container p/ escritório c/ ar condicionado e banheiro, isolam.térmico e acústico, 2
luminárias, janela de vidro, tomada p/ comput. e telef.</v>
      </c>
      <c r="C22" s="775"/>
      <c r="D22" s="775"/>
      <c r="E22" s="775"/>
      <c r="F22" s="775"/>
      <c r="G22" s="775"/>
      <c r="H22" s="775"/>
      <c r="I22" s="775"/>
      <c r="J22" s="775"/>
      <c r="K22" s="775"/>
      <c r="L22" s="775"/>
      <c r="M22" s="775"/>
      <c r="N22" s="775"/>
      <c r="O22" s="775"/>
      <c r="P22" s="775"/>
      <c r="Q22" s="775"/>
      <c r="R22" s="776"/>
      <c r="S22" s="766" t="str">
        <f>'PLANILHA '!E17</f>
        <v>Mes</v>
      </c>
      <c r="T22" s="765">
        <f>SUM(R23:R25)</f>
        <v>32</v>
      </c>
      <c r="U22" s="84">
        <f>T22</f>
        <v>32</v>
      </c>
      <c r="V22" s="21"/>
      <c r="W22" s="21"/>
      <c r="X22" s="74"/>
    </row>
    <row r="23" spans="1:24" ht="13.95" customHeight="1">
      <c r="A23" s="755"/>
      <c r="B23" s="110" t="s">
        <v>305</v>
      </c>
      <c r="C23" s="104"/>
      <c r="D23" s="104"/>
      <c r="E23" s="104"/>
      <c r="F23" s="117"/>
      <c r="G23" s="116"/>
      <c r="H23" s="116"/>
      <c r="I23" s="104"/>
      <c r="J23" s="104"/>
      <c r="K23" s="104"/>
      <c r="L23" s="104"/>
      <c r="M23" s="104">
        <v>16</v>
      </c>
      <c r="N23" s="104"/>
      <c r="O23" s="116"/>
      <c r="P23" s="116"/>
      <c r="Q23" s="104"/>
      <c r="R23" s="116">
        <f>M23</f>
        <v>16</v>
      </c>
      <c r="S23" s="767"/>
      <c r="T23" s="760"/>
      <c r="U23" s="75"/>
      <c r="V23" s="22"/>
      <c r="W23" s="22"/>
      <c r="X23" s="76"/>
    </row>
    <row r="24" spans="1:24" ht="13.95" customHeight="1">
      <c r="A24" s="755"/>
      <c r="B24" s="110" t="s">
        <v>306</v>
      </c>
      <c r="C24" s="112"/>
      <c r="D24" s="104"/>
      <c r="E24" s="112"/>
      <c r="F24" s="117"/>
      <c r="G24" s="116"/>
      <c r="H24" s="116"/>
      <c r="I24" s="112"/>
      <c r="J24" s="112"/>
      <c r="K24" s="112"/>
      <c r="L24" s="112"/>
      <c r="M24" s="104">
        <v>16</v>
      </c>
      <c r="N24" s="112"/>
      <c r="O24" s="116"/>
      <c r="P24" s="116"/>
      <c r="Q24" s="104"/>
      <c r="R24" s="116">
        <f>M24</f>
        <v>16</v>
      </c>
      <c r="S24" s="767"/>
      <c r="T24" s="760"/>
      <c r="U24" s="75"/>
      <c r="V24" s="22"/>
      <c r="W24" s="22"/>
      <c r="X24" s="76"/>
    </row>
    <row r="25" spans="1:24" ht="13.95" customHeight="1" thickBot="1">
      <c r="A25" s="773"/>
      <c r="B25" s="278"/>
      <c r="C25" s="113"/>
      <c r="D25" s="113"/>
      <c r="E25" s="113"/>
      <c r="F25" s="124"/>
      <c r="G25" s="124"/>
      <c r="H25" s="124"/>
      <c r="I25" s="113"/>
      <c r="J25" s="113"/>
      <c r="K25" s="113"/>
      <c r="L25" s="113"/>
      <c r="M25" s="113"/>
      <c r="N25" s="113"/>
      <c r="O25" s="124"/>
      <c r="P25" s="124"/>
      <c r="Q25" s="113"/>
      <c r="R25" s="124"/>
      <c r="S25" s="768"/>
      <c r="T25" s="772"/>
      <c r="U25" s="75"/>
      <c r="V25" s="22"/>
      <c r="W25" s="22"/>
      <c r="X25" s="76"/>
    </row>
    <row r="26" spans="1:24" ht="13.95" customHeight="1" thickBot="1">
      <c r="A26" s="761" t="str">
        <f>'PLANILHA '!A18</f>
        <v>2.4</v>
      </c>
      <c r="B26" s="799" t="str">
        <f>'PLANILHA '!D18</f>
        <v>Aluguel de container para almoxarifado</v>
      </c>
      <c r="C26" s="800"/>
      <c r="D26" s="800"/>
      <c r="E26" s="800"/>
      <c r="F26" s="800"/>
      <c r="G26" s="800"/>
      <c r="H26" s="800"/>
      <c r="I26" s="800"/>
      <c r="J26" s="800"/>
      <c r="K26" s="800"/>
      <c r="L26" s="800"/>
      <c r="M26" s="800"/>
      <c r="N26" s="800"/>
      <c r="O26" s="800"/>
      <c r="P26" s="800"/>
      <c r="Q26" s="800"/>
      <c r="R26" s="800"/>
      <c r="S26" s="766" t="str">
        <f>'PLANILHA '!E18</f>
        <v>Mes</v>
      </c>
      <c r="T26" s="780">
        <f>SUM(R27:R28)</f>
        <v>16</v>
      </c>
      <c r="U26" s="84">
        <f>T26</f>
        <v>16</v>
      </c>
      <c r="V26" s="21"/>
      <c r="W26" s="21"/>
      <c r="X26" s="74"/>
    </row>
    <row r="27" spans="1:24">
      <c r="A27" s="755"/>
      <c r="B27" s="110" t="s">
        <v>307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>
        <v>16</v>
      </c>
      <c r="N27" s="104"/>
      <c r="O27" s="116"/>
      <c r="P27" s="116"/>
      <c r="Q27" s="104"/>
      <c r="R27" s="116">
        <f>M27</f>
        <v>16</v>
      </c>
      <c r="S27" s="767"/>
      <c r="T27" s="781"/>
      <c r="U27" s="75"/>
      <c r="V27" s="22" t="s">
        <v>119</v>
      </c>
      <c r="W27" s="22"/>
      <c r="X27" s="76"/>
    </row>
    <row r="28" spans="1:24" ht="13.8" thickBot="1">
      <c r="A28" s="773"/>
      <c r="B28" s="278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71"/>
      <c r="P28" s="128"/>
      <c r="Q28" s="113"/>
      <c r="R28" s="113"/>
      <c r="S28" s="768"/>
      <c r="T28" s="782"/>
      <c r="U28" s="75"/>
      <c r="V28" s="22"/>
      <c r="W28" s="22"/>
      <c r="X28" s="76"/>
    </row>
    <row r="29" spans="1:24" ht="13.95" customHeight="1" thickBot="1">
      <c r="A29" s="761" t="str">
        <f>'PLANILHA '!A19</f>
        <v>2.5</v>
      </c>
      <c r="B29" s="769" t="str">
        <f>'PLANILHA '!D19</f>
        <v>Aluguel de container tipo refeitório (2 unidades acopladas), c/ 2 aparelhos de ar condicionado,
4 lumináriase 4 janelas de vidro</v>
      </c>
      <c r="C29" s="775"/>
      <c r="D29" s="775"/>
      <c r="E29" s="775"/>
      <c r="F29" s="775"/>
      <c r="G29" s="775"/>
      <c r="H29" s="775"/>
      <c r="I29" s="775"/>
      <c r="J29" s="775"/>
      <c r="K29" s="775"/>
      <c r="L29" s="775"/>
      <c r="M29" s="775"/>
      <c r="N29" s="775"/>
      <c r="O29" s="775"/>
      <c r="P29" s="775"/>
      <c r="Q29" s="775"/>
      <c r="R29" s="776"/>
      <c r="S29" s="777" t="str">
        <f>'PLANILHA '!E19</f>
        <v>Mes</v>
      </c>
      <c r="T29" s="780">
        <f>SUM(R30:R31)</f>
        <v>16</v>
      </c>
      <c r="U29" s="84">
        <f>T29</f>
        <v>16</v>
      </c>
      <c r="V29" s="21"/>
      <c r="W29" s="21"/>
      <c r="X29" s="74"/>
    </row>
    <row r="30" spans="1:24">
      <c r="A30" s="755"/>
      <c r="B30" s="115" t="s">
        <v>308</v>
      </c>
      <c r="C30" s="116"/>
      <c r="D30" s="104"/>
      <c r="E30" s="104"/>
      <c r="F30" s="104"/>
      <c r="G30" s="104"/>
      <c r="H30" s="116"/>
      <c r="I30" s="104"/>
      <c r="J30" s="104"/>
      <c r="K30" s="104"/>
      <c r="L30" s="104"/>
      <c r="M30" s="104">
        <v>16</v>
      </c>
      <c r="N30" s="104"/>
      <c r="O30" s="116"/>
      <c r="P30" s="116"/>
      <c r="Q30" s="104"/>
      <c r="R30" s="116">
        <f>M30</f>
        <v>16</v>
      </c>
      <c r="S30" s="778"/>
      <c r="T30" s="781"/>
      <c r="U30" s="75"/>
      <c r="V30" s="22" t="s">
        <v>119</v>
      </c>
      <c r="W30" s="22"/>
      <c r="X30" s="76"/>
    </row>
    <row r="31" spans="1:24" ht="13.8" thickBot="1">
      <c r="A31" s="773"/>
      <c r="B31" s="123"/>
      <c r="C31" s="124"/>
      <c r="D31" s="113"/>
      <c r="E31" s="113"/>
      <c r="F31" s="113"/>
      <c r="G31" s="113"/>
      <c r="H31" s="124"/>
      <c r="I31" s="113"/>
      <c r="J31" s="113"/>
      <c r="K31" s="113"/>
      <c r="L31" s="113"/>
      <c r="M31" s="113"/>
      <c r="N31" s="113"/>
      <c r="O31" s="124"/>
      <c r="P31" s="113"/>
      <c r="Q31" s="113"/>
      <c r="R31" s="124"/>
      <c r="S31" s="779"/>
      <c r="T31" s="782"/>
      <c r="U31" s="75"/>
      <c r="V31" s="22"/>
      <c r="W31" s="22"/>
      <c r="X31" s="76"/>
    </row>
    <row r="32" spans="1:24" ht="13.8" thickBot="1">
      <c r="A32" s="761" t="str">
        <f>'PLANILHA '!A20</f>
        <v>2.6</v>
      </c>
      <c r="B32" s="762" t="str">
        <f>'PLANILHA '!D20</f>
        <v>Aluguel de container tipo vestiário, 2 luminárias, piso especial e janela</v>
      </c>
      <c r="C32" s="783"/>
      <c r="D32" s="783"/>
      <c r="E32" s="783"/>
      <c r="F32" s="783"/>
      <c r="G32" s="783"/>
      <c r="H32" s="783"/>
      <c r="I32" s="783"/>
      <c r="J32" s="783"/>
      <c r="K32" s="783"/>
      <c r="L32" s="783"/>
      <c r="M32" s="783"/>
      <c r="N32" s="783"/>
      <c r="O32" s="783"/>
      <c r="P32" s="783"/>
      <c r="Q32" s="783"/>
      <c r="R32" s="784"/>
      <c r="S32" s="766" t="str">
        <f>'PLANILHA '!E20</f>
        <v>Mes</v>
      </c>
      <c r="T32" s="765">
        <f>SUM(R33:R34)</f>
        <v>16</v>
      </c>
      <c r="U32" s="84">
        <f>T32</f>
        <v>16</v>
      </c>
      <c r="V32" s="22"/>
      <c r="W32" s="22"/>
      <c r="X32" s="76"/>
    </row>
    <row r="33" spans="1:24" ht="13.95" customHeight="1">
      <c r="A33" s="755"/>
      <c r="B33" s="110" t="s">
        <v>309</v>
      </c>
      <c r="C33" s="117"/>
      <c r="D33" s="104"/>
      <c r="E33" s="112"/>
      <c r="F33" s="125"/>
      <c r="G33" s="125"/>
      <c r="H33" s="112"/>
      <c r="I33" s="112"/>
      <c r="J33" s="112"/>
      <c r="K33" s="112"/>
      <c r="L33" s="112"/>
      <c r="M33" s="104">
        <v>16</v>
      </c>
      <c r="N33" s="104"/>
      <c r="O33" s="116"/>
      <c r="P33" s="116"/>
      <c r="Q33" s="104"/>
      <c r="R33" s="116">
        <f>M33</f>
        <v>16</v>
      </c>
      <c r="S33" s="767"/>
      <c r="T33" s="760"/>
      <c r="U33" s="75"/>
      <c r="V33" s="22"/>
      <c r="W33" s="22"/>
      <c r="X33" s="76"/>
    </row>
    <row r="34" spans="1:24" ht="13.95" customHeight="1" thickBot="1">
      <c r="A34" s="773"/>
      <c r="B34" s="278"/>
      <c r="C34" s="124"/>
      <c r="D34" s="113"/>
      <c r="E34" s="113"/>
      <c r="F34" s="271"/>
      <c r="G34" s="271"/>
      <c r="H34" s="113"/>
      <c r="I34" s="113"/>
      <c r="J34" s="113"/>
      <c r="K34" s="113"/>
      <c r="L34" s="113"/>
      <c r="M34" s="113"/>
      <c r="N34" s="113"/>
      <c r="O34" s="113"/>
      <c r="P34" s="124"/>
      <c r="Q34" s="113"/>
      <c r="R34" s="124"/>
      <c r="S34" s="768"/>
      <c r="T34" s="772"/>
      <c r="U34" s="75"/>
      <c r="V34" s="22"/>
      <c r="W34" s="22"/>
      <c r="X34" s="76"/>
    </row>
    <row r="35" spans="1:24" ht="13.8" thickBot="1">
      <c r="A35" s="761" t="str">
        <f>'PLANILHA '!A21</f>
        <v>2.7</v>
      </c>
      <c r="B35" s="769" t="str">
        <f>'PLANILHA '!D21</f>
        <v>Aluguel de container tipo sanitário com 3 vasos sanitários, lavatório, mictório, 5 chuveiros, 2
venezianas e piso especial</v>
      </c>
      <c r="C35" s="775"/>
      <c r="D35" s="775"/>
      <c r="E35" s="775"/>
      <c r="F35" s="775"/>
      <c r="G35" s="775"/>
      <c r="H35" s="775"/>
      <c r="I35" s="775"/>
      <c r="J35" s="775"/>
      <c r="K35" s="775"/>
      <c r="L35" s="775"/>
      <c r="M35" s="775"/>
      <c r="N35" s="775"/>
      <c r="O35" s="775"/>
      <c r="P35" s="775"/>
      <c r="Q35" s="775"/>
      <c r="R35" s="776"/>
      <c r="S35" s="766" t="str">
        <f>'PLANILHA '!E21</f>
        <v>Mes</v>
      </c>
      <c r="T35" s="765">
        <f>SUM(R36:R37)</f>
        <v>16</v>
      </c>
      <c r="U35" s="84">
        <f>T35</f>
        <v>16</v>
      </c>
      <c r="V35" s="22"/>
      <c r="W35" s="22"/>
      <c r="X35" s="76"/>
    </row>
    <row r="36" spans="1:24">
      <c r="A36" s="755"/>
      <c r="B36" s="110" t="s">
        <v>310</v>
      </c>
      <c r="C36" s="117"/>
      <c r="D36" s="104"/>
      <c r="E36" s="112"/>
      <c r="F36" s="117"/>
      <c r="G36" s="117"/>
      <c r="H36" s="112"/>
      <c r="I36" s="112"/>
      <c r="J36" s="112"/>
      <c r="K36" s="112"/>
      <c r="L36" s="112"/>
      <c r="M36" s="104">
        <v>16</v>
      </c>
      <c r="N36" s="104"/>
      <c r="O36" s="116"/>
      <c r="P36" s="116"/>
      <c r="Q36" s="104"/>
      <c r="R36" s="116">
        <f>M36</f>
        <v>16</v>
      </c>
      <c r="S36" s="759"/>
      <c r="T36" s="760"/>
      <c r="U36" s="75"/>
      <c r="V36" s="22"/>
      <c r="W36" s="22"/>
      <c r="X36" s="76"/>
    </row>
    <row r="37" spans="1:24" ht="13.8" thickBot="1">
      <c r="A37" s="773"/>
      <c r="B37" s="278"/>
      <c r="C37" s="124"/>
      <c r="D37" s="113"/>
      <c r="E37" s="113"/>
      <c r="F37" s="124"/>
      <c r="G37" s="124"/>
      <c r="H37" s="113"/>
      <c r="I37" s="113"/>
      <c r="J37" s="113"/>
      <c r="K37" s="113"/>
      <c r="L37" s="113"/>
      <c r="M37" s="113"/>
      <c r="N37" s="113"/>
      <c r="O37" s="113"/>
      <c r="P37" s="124"/>
      <c r="Q37" s="113"/>
      <c r="R37" s="124"/>
      <c r="S37" s="788"/>
      <c r="T37" s="772"/>
      <c r="U37" s="75"/>
      <c r="V37" s="22"/>
      <c r="W37" s="22"/>
      <c r="X37" s="76"/>
    </row>
    <row r="38" spans="1:24" ht="13.8" thickBot="1">
      <c r="A38" s="761" t="str">
        <f>'PLANILHA '!A22</f>
        <v>2.8</v>
      </c>
      <c r="B38" s="769" t="str">
        <f>'PLANILHA '!D22</f>
        <v>Barracão em chapa compensada 12mm e pont. 8x8cm, piso cimentado e cobertura de telhas
fibrocimento 6mm, incl. ponto de luz</v>
      </c>
      <c r="C38" s="775"/>
      <c r="D38" s="775"/>
      <c r="E38" s="775"/>
      <c r="F38" s="775"/>
      <c r="G38" s="775"/>
      <c r="H38" s="775"/>
      <c r="I38" s="775"/>
      <c r="J38" s="775"/>
      <c r="K38" s="775"/>
      <c r="L38" s="775"/>
      <c r="M38" s="775"/>
      <c r="N38" s="775"/>
      <c r="O38" s="775"/>
      <c r="P38" s="775"/>
      <c r="Q38" s="775"/>
      <c r="R38" s="776"/>
      <c r="S38" s="787" t="str">
        <f>'PLANILHA '!E22</f>
        <v>m²</v>
      </c>
      <c r="T38" s="765">
        <f>SUM(R39:R45)</f>
        <v>215</v>
      </c>
      <c r="U38" s="84">
        <f>T38</f>
        <v>215</v>
      </c>
      <c r="V38" s="22"/>
      <c r="W38" s="22"/>
      <c r="X38" s="76"/>
    </row>
    <row r="39" spans="1:24">
      <c r="A39" s="755"/>
      <c r="B39" s="110" t="s">
        <v>303</v>
      </c>
      <c r="C39" s="116"/>
      <c r="D39" s="104"/>
      <c r="E39" s="104"/>
      <c r="F39" s="116"/>
      <c r="G39" s="116"/>
      <c r="H39" s="104"/>
      <c r="I39" s="104"/>
      <c r="J39" s="104"/>
      <c r="K39" s="104"/>
      <c r="L39" s="104"/>
      <c r="M39" s="104"/>
      <c r="N39" s="104"/>
      <c r="O39" s="116">
        <v>100</v>
      </c>
      <c r="P39" s="116"/>
      <c r="Q39" s="104"/>
      <c r="R39" s="116">
        <f>O39</f>
        <v>100</v>
      </c>
      <c r="S39" s="759"/>
      <c r="T39" s="760"/>
      <c r="U39" s="75"/>
      <c r="V39" s="22"/>
      <c r="W39" s="22"/>
      <c r="X39" s="76"/>
    </row>
    <row r="40" spans="1:24">
      <c r="A40" s="755"/>
      <c r="B40" s="110" t="s">
        <v>301</v>
      </c>
      <c r="C40" s="116"/>
      <c r="D40" s="104"/>
      <c r="E40" s="104"/>
      <c r="F40" s="116"/>
      <c r="G40" s="116"/>
      <c r="H40" s="104"/>
      <c r="I40" s="104"/>
      <c r="J40" s="104"/>
      <c r="K40" s="104"/>
      <c r="L40" s="104"/>
      <c r="M40" s="104"/>
      <c r="N40" s="104"/>
      <c r="O40" s="116">
        <v>60</v>
      </c>
      <c r="P40" s="116"/>
      <c r="Q40" s="104"/>
      <c r="R40" s="116">
        <f>O40</f>
        <v>60</v>
      </c>
      <c r="S40" s="759"/>
      <c r="T40" s="760"/>
      <c r="U40" s="75"/>
      <c r="V40" s="22"/>
      <c r="W40" s="22"/>
      <c r="X40" s="76"/>
    </row>
    <row r="41" spans="1:24">
      <c r="A41" s="755"/>
      <c r="B41" s="110" t="s">
        <v>302</v>
      </c>
      <c r="C41" s="116"/>
      <c r="D41" s="104"/>
      <c r="E41" s="104"/>
      <c r="F41" s="116"/>
      <c r="G41" s="116"/>
      <c r="H41" s="104"/>
      <c r="I41" s="104"/>
      <c r="J41" s="104"/>
      <c r="K41" s="104"/>
      <c r="L41" s="104"/>
      <c r="M41" s="104"/>
      <c r="N41" s="104"/>
      <c r="O41" s="116">
        <v>10</v>
      </c>
      <c r="P41" s="116"/>
      <c r="Q41" s="104"/>
      <c r="R41" s="116">
        <f t="shared" ref="R41" si="0">O41</f>
        <v>10</v>
      </c>
      <c r="S41" s="759"/>
      <c r="T41" s="760"/>
      <c r="U41" s="75"/>
      <c r="V41" s="22"/>
      <c r="W41" s="22"/>
      <c r="X41" s="76"/>
    </row>
    <row r="42" spans="1:24">
      <c r="A42" s="755"/>
      <c r="B42" s="110" t="s">
        <v>304</v>
      </c>
      <c r="C42" s="116"/>
      <c r="D42" s="104"/>
      <c r="E42" s="104"/>
      <c r="F42" s="116"/>
      <c r="G42" s="116"/>
      <c r="H42" s="104"/>
      <c r="I42" s="104"/>
      <c r="J42" s="104"/>
      <c r="K42" s="104"/>
      <c r="L42" s="104"/>
      <c r="M42" s="104"/>
      <c r="N42" s="104"/>
      <c r="O42" s="116">
        <v>15</v>
      </c>
      <c r="P42" s="116"/>
      <c r="Q42" s="104"/>
      <c r="R42" s="116">
        <f>O42</f>
        <v>15</v>
      </c>
      <c r="S42" s="759"/>
      <c r="T42" s="760"/>
      <c r="U42" s="75"/>
      <c r="V42" s="22"/>
      <c r="W42" s="22"/>
      <c r="X42" s="76"/>
    </row>
    <row r="43" spans="1:24">
      <c r="A43" s="755"/>
      <c r="B43" s="110" t="s">
        <v>311</v>
      </c>
      <c r="C43" s="116"/>
      <c r="D43" s="104"/>
      <c r="E43" s="104"/>
      <c r="F43" s="116"/>
      <c r="G43" s="116"/>
      <c r="H43" s="104"/>
      <c r="I43" s="104"/>
      <c r="J43" s="104"/>
      <c r="K43" s="104"/>
      <c r="L43" s="104"/>
      <c r="M43" s="104"/>
      <c r="N43" s="104"/>
      <c r="O43" s="116">
        <v>10</v>
      </c>
      <c r="P43" s="116"/>
      <c r="Q43" s="104"/>
      <c r="R43" s="116">
        <f>O43</f>
        <v>10</v>
      </c>
      <c r="S43" s="759"/>
      <c r="T43" s="760"/>
      <c r="U43" s="75"/>
      <c r="V43" s="22"/>
      <c r="W43" s="22"/>
      <c r="X43" s="76"/>
    </row>
    <row r="44" spans="1:24">
      <c r="A44" s="755"/>
      <c r="B44" s="110" t="s">
        <v>314</v>
      </c>
      <c r="C44" s="116"/>
      <c r="D44" s="104"/>
      <c r="E44" s="104"/>
      <c r="F44" s="116"/>
      <c r="G44" s="116"/>
      <c r="H44" s="104"/>
      <c r="I44" s="104"/>
      <c r="J44" s="104"/>
      <c r="K44" s="104"/>
      <c r="L44" s="104"/>
      <c r="M44" s="104"/>
      <c r="N44" s="104"/>
      <c r="O44" s="116">
        <v>20</v>
      </c>
      <c r="P44" s="116"/>
      <c r="Q44" s="104"/>
      <c r="R44" s="116">
        <f>O44</f>
        <v>20</v>
      </c>
      <c r="S44" s="759"/>
      <c r="T44" s="760"/>
      <c r="U44" s="75"/>
      <c r="V44" s="22"/>
      <c r="W44" s="22"/>
      <c r="X44" s="76"/>
    </row>
    <row r="45" spans="1:24" ht="13.8" thickBot="1">
      <c r="A45" s="773"/>
      <c r="B45" s="278"/>
      <c r="C45" s="124"/>
      <c r="D45" s="113"/>
      <c r="E45" s="113"/>
      <c r="F45" s="124"/>
      <c r="G45" s="124"/>
      <c r="H45" s="113"/>
      <c r="I45" s="113"/>
      <c r="J45" s="113"/>
      <c r="K45" s="113"/>
      <c r="L45" s="113"/>
      <c r="M45" s="113"/>
      <c r="N45" s="113"/>
      <c r="O45" s="124"/>
      <c r="P45" s="124"/>
      <c r="Q45" s="113"/>
      <c r="R45" s="124"/>
      <c r="S45" s="788"/>
      <c r="T45" s="772"/>
      <c r="U45" s="75"/>
      <c r="V45" s="22"/>
      <c r="W45" s="22"/>
      <c r="X45" s="76"/>
    </row>
    <row r="46" spans="1:24" ht="13.8" thickBot="1">
      <c r="A46" s="761" t="str">
        <f>'PLANILHA '!A23</f>
        <v>2.9</v>
      </c>
      <c r="B46" s="769" t="str">
        <f>'PLANILHA '!D23</f>
        <v>Galpão em peças de madeira 8x8cm e contravent. de 5x7cm, cobertura de telhas de fibroc. de
6mm, incl. ponto e cabo de alimentação da máquina</v>
      </c>
      <c r="C46" s="775"/>
      <c r="D46" s="775"/>
      <c r="E46" s="775"/>
      <c r="F46" s="775"/>
      <c r="G46" s="775"/>
      <c r="H46" s="775"/>
      <c r="I46" s="775"/>
      <c r="J46" s="775"/>
      <c r="K46" s="775"/>
      <c r="L46" s="775"/>
      <c r="M46" s="775"/>
      <c r="N46" s="775"/>
      <c r="O46" s="775"/>
      <c r="P46" s="775"/>
      <c r="Q46" s="775"/>
      <c r="R46" s="776"/>
      <c r="S46" s="787" t="str">
        <f>'PLANILHA '!E24</f>
        <v>m²</v>
      </c>
      <c r="T46" s="765">
        <f>SUM(R47:R49)</f>
        <v>70</v>
      </c>
      <c r="U46" s="84">
        <f>T46</f>
        <v>70</v>
      </c>
      <c r="V46" s="22"/>
      <c r="W46" s="22"/>
      <c r="X46" s="76"/>
    </row>
    <row r="47" spans="1:24">
      <c r="A47" s="755"/>
      <c r="B47" s="110" t="s">
        <v>312</v>
      </c>
      <c r="C47" s="116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>
        <v>60</v>
      </c>
      <c r="P47" s="116"/>
      <c r="Q47" s="104"/>
      <c r="R47" s="116">
        <f>O47</f>
        <v>60</v>
      </c>
      <c r="S47" s="759"/>
      <c r="T47" s="760"/>
      <c r="U47" s="75"/>
      <c r="V47" s="22"/>
      <c r="W47" s="22"/>
      <c r="X47" s="76"/>
    </row>
    <row r="48" spans="1:24">
      <c r="A48" s="755"/>
      <c r="B48" s="110" t="s">
        <v>313</v>
      </c>
      <c r="C48" s="116"/>
      <c r="D48" s="104">
        <v>2</v>
      </c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>
        <v>5</v>
      </c>
      <c r="P48" s="116"/>
      <c r="Q48" s="104"/>
      <c r="R48" s="116">
        <f>O48*D48</f>
        <v>10</v>
      </c>
      <c r="S48" s="759"/>
      <c r="T48" s="760"/>
      <c r="U48" s="75"/>
      <c r="V48" s="22"/>
      <c r="W48" s="22"/>
      <c r="X48" s="76"/>
    </row>
    <row r="49" spans="1:24" ht="13.8" thickBot="1">
      <c r="A49" s="773"/>
      <c r="B49" s="278"/>
      <c r="C49" s="124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24"/>
      <c r="Q49" s="113"/>
      <c r="R49" s="124"/>
      <c r="S49" s="788"/>
      <c r="T49" s="772"/>
      <c r="U49" s="75"/>
      <c r="V49" s="22"/>
      <c r="W49" s="22"/>
      <c r="X49" s="76"/>
    </row>
    <row r="50" spans="1:24" ht="13.8" thickBot="1">
      <c r="A50" s="761" t="str">
        <f>'PLANILHA '!A24</f>
        <v>2.10</v>
      </c>
      <c r="B50" s="769" t="str">
        <f>'PLANILHA '!D24</f>
        <v>Galpão para corte e armação com área de 6.00m2, em peças de madeira 8x8cm e contraventamento de
5x7cm, cobertura de telhas de fibroc. de 6mm, inclusive ponto e cabo de alimentação da máquina, conf.
projeto (1 utilização)</v>
      </c>
      <c r="C50" s="775"/>
      <c r="D50" s="775"/>
      <c r="E50" s="775"/>
      <c r="F50" s="775"/>
      <c r="G50" s="775"/>
      <c r="H50" s="775"/>
      <c r="I50" s="775"/>
      <c r="J50" s="775"/>
      <c r="K50" s="775"/>
      <c r="L50" s="775"/>
      <c r="M50" s="775"/>
      <c r="N50" s="775"/>
      <c r="O50" s="775"/>
      <c r="P50" s="775"/>
      <c r="Q50" s="775"/>
      <c r="R50" s="776"/>
      <c r="S50" s="787" t="s">
        <v>7</v>
      </c>
      <c r="T50" s="765">
        <f>SUM(R51:R52)</f>
        <v>110</v>
      </c>
      <c r="U50" s="84">
        <f>T50</f>
        <v>110</v>
      </c>
      <c r="V50" s="22"/>
      <c r="W50" s="22"/>
      <c r="X50" s="76"/>
    </row>
    <row r="51" spans="1:24">
      <c r="A51" s="755"/>
      <c r="B51" s="110" t="s">
        <v>315</v>
      </c>
      <c r="C51" s="116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>
        <v>110</v>
      </c>
      <c r="P51" s="116"/>
      <c r="Q51" s="104"/>
      <c r="R51" s="116">
        <f>O51</f>
        <v>110</v>
      </c>
      <c r="S51" s="759"/>
      <c r="T51" s="760"/>
      <c r="U51" s="75"/>
      <c r="V51" s="22"/>
      <c r="W51" s="22"/>
      <c r="X51" s="76"/>
    </row>
    <row r="52" spans="1:24" ht="13.8" thickBot="1">
      <c r="A52" s="773"/>
      <c r="B52" s="110"/>
      <c r="C52" s="116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16"/>
      <c r="Q52" s="104"/>
      <c r="R52" s="116"/>
      <c r="S52" s="759"/>
      <c r="T52" s="760"/>
      <c r="U52" s="75"/>
      <c r="V52" s="22"/>
      <c r="W52" s="22"/>
      <c r="X52" s="76"/>
    </row>
    <row r="53" spans="1:24" ht="13.8" thickBot="1">
      <c r="A53" s="761" t="str">
        <f>'PLANILHA '!A25</f>
        <v>2.11</v>
      </c>
      <c r="B53" s="769" t="str">
        <f>'PLANILHA '!D25</f>
        <v>Rede de água c/ padrão de entrada d'água diâm. 3/4" conf. CESAN, incl. tubos e conexões p/
aliment., distrib., extravas. e limp., cons. o padrão a 25m</v>
      </c>
      <c r="C53" s="775"/>
      <c r="D53" s="775"/>
      <c r="E53" s="775"/>
      <c r="F53" s="775"/>
      <c r="G53" s="775"/>
      <c r="H53" s="775"/>
      <c r="I53" s="775"/>
      <c r="J53" s="775"/>
      <c r="K53" s="775"/>
      <c r="L53" s="775"/>
      <c r="M53" s="775"/>
      <c r="N53" s="775"/>
      <c r="O53" s="775"/>
      <c r="P53" s="775"/>
      <c r="Q53" s="775"/>
      <c r="R53" s="776"/>
      <c r="S53" s="787" t="str">
        <f>'PLANILHA '!E25</f>
        <v>m</v>
      </c>
      <c r="T53" s="765">
        <f>SUM(R54:R55)</f>
        <v>200</v>
      </c>
      <c r="U53" s="84">
        <f>T53</f>
        <v>200</v>
      </c>
      <c r="V53" s="22"/>
      <c r="W53" s="22"/>
      <c r="X53" s="76"/>
    </row>
    <row r="54" spans="1:24">
      <c r="A54" s="755"/>
      <c r="B54" s="110" t="s">
        <v>317</v>
      </c>
      <c r="C54" s="116"/>
      <c r="D54" s="104"/>
      <c r="E54" s="104"/>
      <c r="F54" s="104"/>
      <c r="G54" s="104">
        <v>200</v>
      </c>
      <c r="H54" s="104"/>
      <c r="I54" s="104"/>
      <c r="J54" s="104"/>
      <c r="K54" s="104"/>
      <c r="L54" s="104"/>
      <c r="M54" s="104"/>
      <c r="N54" s="104"/>
      <c r="O54" s="104"/>
      <c r="P54" s="116"/>
      <c r="Q54" s="104"/>
      <c r="R54" s="116">
        <f>G54</f>
        <v>200</v>
      </c>
      <c r="S54" s="759"/>
      <c r="T54" s="760"/>
      <c r="U54" s="75"/>
      <c r="V54" s="22"/>
      <c r="W54" s="22"/>
      <c r="X54" s="76"/>
    </row>
    <row r="55" spans="1:24" ht="13.8" thickBot="1">
      <c r="A55" s="773"/>
      <c r="B55" s="278"/>
      <c r="C55" s="124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24"/>
      <c r="Q55" s="113"/>
      <c r="R55" s="124"/>
      <c r="S55" s="788"/>
      <c r="T55" s="772"/>
      <c r="U55" s="75"/>
      <c r="V55" s="22"/>
      <c r="W55" s="22"/>
      <c r="X55" s="76"/>
    </row>
    <row r="56" spans="1:24" ht="13.8" thickBot="1">
      <c r="A56" s="761" t="str">
        <f>'PLANILHA '!A26</f>
        <v>2.12</v>
      </c>
      <c r="B56" s="769" t="str">
        <f>'PLANILHA '!D26</f>
        <v>Rede de esgoto, contendo fossa e filtro, incl. tubos e conexões de ligação entre caixas,
considerando distância de 25m</v>
      </c>
      <c r="C56" s="775"/>
      <c r="D56" s="775"/>
      <c r="E56" s="775"/>
      <c r="F56" s="775"/>
      <c r="G56" s="775"/>
      <c r="H56" s="775"/>
      <c r="I56" s="775"/>
      <c r="J56" s="775"/>
      <c r="K56" s="775"/>
      <c r="L56" s="775"/>
      <c r="M56" s="775"/>
      <c r="N56" s="775"/>
      <c r="O56" s="775"/>
      <c r="P56" s="775"/>
      <c r="Q56" s="775"/>
      <c r="R56" s="776"/>
      <c r="S56" s="787" t="str">
        <f>'PLANILHA '!E26</f>
        <v>m</v>
      </c>
      <c r="T56" s="765">
        <f>SUM(R57:R58)</f>
        <v>200</v>
      </c>
      <c r="U56" s="84">
        <f>T56</f>
        <v>200</v>
      </c>
      <c r="V56" s="22"/>
      <c r="W56" s="22"/>
      <c r="X56" s="76"/>
    </row>
    <row r="57" spans="1:24">
      <c r="A57" s="755"/>
      <c r="B57" s="110" t="s">
        <v>318</v>
      </c>
      <c r="C57" s="116"/>
      <c r="D57" s="104"/>
      <c r="E57" s="104"/>
      <c r="F57" s="104"/>
      <c r="G57" s="104">
        <v>200</v>
      </c>
      <c r="H57" s="104"/>
      <c r="I57" s="104"/>
      <c r="J57" s="104"/>
      <c r="K57" s="104"/>
      <c r="L57" s="104"/>
      <c r="M57" s="104"/>
      <c r="N57" s="104"/>
      <c r="O57" s="104"/>
      <c r="P57" s="116"/>
      <c r="Q57" s="104"/>
      <c r="R57" s="116">
        <f>G57</f>
        <v>200</v>
      </c>
      <c r="S57" s="759"/>
      <c r="T57" s="760"/>
      <c r="U57" s="75"/>
      <c r="V57" s="22"/>
      <c r="W57" s="22"/>
      <c r="X57" s="76"/>
    </row>
    <row r="58" spans="1:24" ht="13.8" thickBot="1">
      <c r="A58" s="773"/>
      <c r="B58" s="278"/>
      <c r="C58" s="124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24"/>
      <c r="Q58" s="113"/>
      <c r="R58" s="124"/>
      <c r="S58" s="788"/>
      <c r="T58" s="772"/>
      <c r="U58" s="75"/>
      <c r="V58" s="22"/>
      <c r="W58" s="22"/>
      <c r="X58" s="76"/>
    </row>
    <row r="59" spans="1:24" ht="13.8" thickBot="1">
      <c r="A59" s="761" t="str">
        <f>'PLANILHA '!A27</f>
        <v>2.13</v>
      </c>
      <c r="B59" s="769" t="str">
        <f>'PLANILHA '!D27</f>
        <v>Rede de luz, incl. padrão entr. energia trifás. cabo ligação até barracões, quadro distrib., disj. e
chave de força, cons. 20m entre padrão entr.e QDG</v>
      </c>
      <c r="C59" s="775"/>
      <c r="D59" s="775"/>
      <c r="E59" s="775"/>
      <c r="F59" s="775"/>
      <c r="G59" s="775"/>
      <c r="H59" s="775"/>
      <c r="I59" s="775"/>
      <c r="J59" s="775"/>
      <c r="K59" s="775"/>
      <c r="L59" s="775"/>
      <c r="M59" s="775"/>
      <c r="N59" s="775"/>
      <c r="O59" s="775"/>
      <c r="P59" s="775"/>
      <c r="Q59" s="775"/>
      <c r="R59" s="776"/>
      <c r="S59" s="787" t="str">
        <f>'PLANILHA '!E27</f>
        <v>m</v>
      </c>
      <c r="T59" s="765">
        <f>SUM(R60:R61)</f>
        <v>200</v>
      </c>
      <c r="U59" s="84">
        <f>T59</f>
        <v>200</v>
      </c>
      <c r="V59" s="22"/>
      <c r="W59" s="22"/>
      <c r="X59" s="76"/>
    </row>
    <row r="60" spans="1:24">
      <c r="A60" s="755"/>
      <c r="B60" s="110"/>
      <c r="C60" s="117"/>
      <c r="D60" s="112"/>
      <c r="E60" s="112"/>
      <c r="F60" s="117"/>
      <c r="G60" s="117">
        <v>200</v>
      </c>
      <c r="H60" s="112"/>
      <c r="I60" s="112"/>
      <c r="J60" s="112"/>
      <c r="K60" s="112"/>
      <c r="L60" s="112"/>
      <c r="M60" s="112"/>
      <c r="N60" s="112"/>
      <c r="O60" s="112"/>
      <c r="P60" s="117"/>
      <c r="Q60" s="112"/>
      <c r="R60" s="117">
        <f>G60</f>
        <v>200</v>
      </c>
      <c r="S60" s="759"/>
      <c r="T60" s="760"/>
      <c r="U60" s="75"/>
      <c r="V60" s="22"/>
      <c r="W60" s="22"/>
      <c r="X60" s="76"/>
    </row>
    <row r="61" spans="1:24" ht="13.8" thickBot="1">
      <c r="A61" s="773"/>
      <c r="B61" s="278"/>
      <c r="C61" s="124"/>
      <c r="D61" s="113"/>
      <c r="E61" s="113"/>
      <c r="F61" s="124"/>
      <c r="G61" s="124"/>
      <c r="H61" s="113"/>
      <c r="I61" s="113"/>
      <c r="J61" s="113"/>
      <c r="K61" s="113"/>
      <c r="L61" s="113"/>
      <c r="M61" s="113"/>
      <c r="N61" s="113"/>
      <c r="O61" s="113"/>
      <c r="P61" s="124"/>
      <c r="Q61" s="113"/>
      <c r="R61" s="124"/>
      <c r="S61" s="788"/>
      <c r="T61" s="772"/>
      <c r="U61" s="75"/>
      <c r="V61" s="22"/>
      <c r="W61" s="22"/>
      <c r="X61" s="76"/>
    </row>
    <row r="62" spans="1:24" ht="13.8" thickBot="1">
      <c r="A62" s="761" t="str">
        <f>'PLANILHA '!A28</f>
        <v>2.14</v>
      </c>
      <c r="B62" s="762" t="str">
        <f>'PLANILHA '!D28</f>
        <v>Reservatório de fibra de vidro de 1000 L, incl. suporte em madeira de 7x12cm, elevado de 4m</v>
      </c>
      <c r="C62" s="783"/>
      <c r="D62" s="783"/>
      <c r="E62" s="783"/>
      <c r="F62" s="783"/>
      <c r="G62" s="783"/>
      <c r="H62" s="783"/>
      <c r="I62" s="783"/>
      <c r="J62" s="783"/>
      <c r="K62" s="783"/>
      <c r="L62" s="783"/>
      <c r="M62" s="783"/>
      <c r="N62" s="783"/>
      <c r="O62" s="783"/>
      <c r="P62" s="783"/>
      <c r="Q62" s="783"/>
      <c r="R62" s="784"/>
      <c r="S62" s="787" t="str">
        <f>'PLANILHA '!E28</f>
        <v>UND</v>
      </c>
      <c r="T62" s="765">
        <f>SUM(R63:R64)</f>
        <v>2</v>
      </c>
      <c r="U62" s="84">
        <f>T62</f>
        <v>2</v>
      </c>
    </row>
    <row r="63" spans="1:24">
      <c r="A63" s="755"/>
      <c r="B63" s="110" t="s">
        <v>316</v>
      </c>
      <c r="C63" s="116"/>
      <c r="D63" s="104">
        <v>2</v>
      </c>
      <c r="E63" s="104"/>
      <c r="F63" s="116"/>
      <c r="G63" s="116"/>
      <c r="H63" s="104"/>
      <c r="I63" s="104"/>
      <c r="J63" s="104"/>
      <c r="K63" s="104"/>
      <c r="L63" s="104"/>
      <c r="M63" s="104"/>
      <c r="N63" s="104"/>
      <c r="O63" s="104"/>
      <c r="P63" s="116"/>
      <c r="Q63" s="104"/>
      <c r="R63" s="116">
        <f>D63</f>
        <v>2</v>
      </c>
      <c r="S63" s="759"/>
      <c r="T63" s="760"/>
    </row>
    <row r="64" spans="1:24" ht="13.8" thickBot="1">
      <c r="A64" s="773"/>
      <c r="B64" s="278"/>
      <c r="C64" s="124"/>
      <c r="D64" s="113"/>
      <c r="E64" s="113"/>
      <c r="F64" s="124"/>
      <c r="G64" s="124"/>
      <c r="H64" s="113"/>
      <c r="I64" s="113"/>
      <c r="J64" s="113"/>
      <c r="K64" s="113"/>
      <c r="L64" s="113"/>
      <c r="M64" s="113"/>
      <c r="N64" s="113"/>
      <c r="O64" s="113"/>
      <c r="P64" s="124"/>
      <c r="Q64" s="113"/>
      <c r="R64" s="124"/>
      <c r="S64" s="788"/>
      <c r="T64" s="772"/>
    </row>
    <row r="65" spans="1:21" ht="13.8" thickBot="1">
      <c r="A65" s="761" t="str">
        <f>'PLANILHA '!A29</f>
        <v>2.15</v>
      </c>
      <c r="B65" s="762" t="str">
        <f>'PLANILHA '!D29</f>
        <v>Sistema separador de água e óleo</v>
      </c>
      <c r="C65" s="783"/>
      <c r="D65" s="783"/>
      <c r="E65" s="783"/>
      <c r="F65" s="783"/>
      <c r="G65" s="783"/>
      <c r="H65" s="783"/>
      <c r="I65" s="783"/>
      <c r="J65" s="783"/>
      <c r="K65" s="783"/>
      <c r="L65" s="783"/>
      <c r="M65" s="783"/>
      <c r="N65" s="783"/>
      <c r="O65" s="783"/>
      <c r="P65" s="783"/>
      <c r="Q65" s="783"/>
      <c r="R65" s="784"/>
      <c r="S65" s="787" t="str">
        <f>'PLANILHA '!E29</f>
        <v>UND</v>
      </c>
      <c r="T65" s="765">
        <f>SUM(R66:R67)</f>
        <v>1</v>
      </c>
      <c r="U65" s="84">
        <f>T65</f>
        <v>1</v>
      </c>
    </row>
    <row r="66" spans="1:21">
      <c r="A66" s="755"/>
      <c r="B66" s="110"/>
      <c r="C66" s="116"/>
      <c r="D66" s="104">
        <v>1</v>
      </c>
      <c r="E66" s="104"/>
      <c r="F66" s="116"/>
      <c r="G66" s="116"/>
      <c r="H66" s="104"/>
      <c r="I66" s="104"/>
      <c r="J66" s="104"/>
      <c r="K66" s="104"/>
      <c r="L66" s="104"/>
      <c r="M66" s="104"/>
      <c r="N66" s="104"/>
      <c r="O66" s="104"/>
      <c r="P66" s="116"/>
      <c r="Q66" s="104"/>
      <c r="R66" s="116">
        <f>D66</f>
        <v>1</v>
      </c>
      <c r="S66" s="759"/>
      <c r="T66" s="760"/>
    </row>
    <row r="67" spans="1:21" ht="13.8" thickBot="1">
      <c r="A67" s="773"/>
      <c r="B67" s="278"/>
      <c r="C67" s="124"/>
      <c r="D67" s="113"/>
      <c r="E67" s="113"/>
      <c r="F67" s="124"/>
      <c r="G67" s="124"/>
      <c r="H67" s="113"/>
      <c r="I67" s="113"/>
      <c r="J67" s="113"/>
      <c r="K67" s="113"/>
      <c r="L67" s="113"/>
      <c r="M67" s="113"/>
      <c r="N67" s="113"/>
      <c r="O67" s="113"/>
      <c r="P67" s="124"/>
      <c r="Q67" s="113"/>
      <c r="R67" s="124"/>
      <c r="S67" s="788"/>
      <c r="T67" s="772"/>
    </row>
    <row r="68" spans="1:21" ht="13.8" thickBot="1">
      <c r="A68" s="761" t="str">
        <f>'PLANILHA '!A30</f>
        <v>2.16</v>
      </c>
      <c r="B68" s="762" t="str">
        <f>'PLANILHA '!D30</f>
        <v>Canaleta de concreto retangular com grelha em barra de aço</v>
      </c>
      <c r="C68" s="783"/>
      <c r="D68" s="783"/>
      <c r="E68" s="783"/>
      <c r="F68" s="783"/>
      <c r="G68" s="783"/>
      <c r="H68" s="783"/>
      <c r="I68" s="783"/>
      <c r="J68" s="783"/>
      <c r="K68" s="783"/>
      <c r="L68" s="783"/>
      <c r="M68" s="783"/>
      <c r="N68" s="783"/>
      <c r="O68" s="783"/>
      <c r="P68" s="783"/>
      <c r="Q68" s="783"/>
      <c r="R68" s="784"/>
      <c r="S68" s="787" t="str">
        <f>'PLANILHA '!E30</f>
        <v>m</v>
      </c>
      <c r="T68" s="765">
        <f>SUM(R69:R70)</f>
        <v>30</v>
      </c>
      <c r="U68" s="84">
        <f>T68</f>
        <v>30</v>
      </c>
    </row>
    <row r="69" spans="1:21">
      <c r="A69" s="755"/>
      <c r="B69" s="110"/>
      <c r="C69" s="116"/>
      <c r="D69" s="104"/>
      <c r="E69" s="104"/>
      <c r="F69" s="116">
        <v>30</v>
      </c>
      <c r="G69" s="116"/>
      <c r="H69" s="104"/>
      <c r="I69" s="104"/>
      <c r="J69" s="104"/>
      <c r="K69" s="104"/>
      <c r="L69" s="104"/>
      <c r="M69" s="104"/>
      <c r="N69" s="104"/>
      <c r="O69" s="104"/>
      <c r="P69" s="116"/>
      <c r="Q69" s="104"/>
      <c r="R69" s="116">
        <f>F69</f>
        <v>30</v>
      </c>
      <c r="S69" s="759"/>
      <c r="T69" s="760"/>
    </row>
    <row r="70" spans="1:21" ht="13.8" thickBot="1">
      <c r="A70" s="773"/>
      <c r="B70" s="278"/>
      <c r="C70" s="124"/>
      <c r="D70" s="113"/>
      <c r="E70" s="113"/>
      <c r="F70" s="124"/>
      <c r="G70" s="124"/>
      <c r="H70" s="113"/>
      <c r="I70" s="113"/>
      <c r="J70" s="113"/>
      <c r="K70" s="113"/>
      <c r="L70" s="113"/>
      <c r="M70" s="113"/>
      <c r="N70" s="113"/>
      <c r="O70" s="113"/>
      <c r="P70" s="124"/>
      <c r="Q70" s="113"/>
      <c r="R70" s="124"/>
      <c r="S70" s="788"/>
      <c r="T70" s="772"/>
    </row>
    <row r="71" spans="1:21" ht="13.8" thickBot="1">
      <c r="A71" s="761" t="str">
        <f>'PLANILHA '!A31</f>
        <v>2.17</v>
      </c>
      <c r="B71" s="762" t="str">
        <f>'PLANILHA '!D31</f>
        <v>Cerca de arame farpado 4 fios com mourões a cada 2,0 m, esticadores de madeira, a cada 20,0 m, inclusive transporte de mourão e arame farpado)</v>
      </c>
      <c r="C71" s="783"/>
      <c r="D71" s="783"/>
      <c r="E71" s="783"/>
      <c r="F71" s="783"/>
      <c r="G71" s="783"/>
      <c r="H71" s="783"/>
      <c r="I71" s="783"/>
      <c r="J71" s="783"/>
      <c r="K71" s="783"/>
      <c r="L71" s="783"/>
      <c r="M71" s="783"/>
      <c r="N71" s="783"/>
      <c r="O71" s="783"/>
      <c r="P71" s="783"/>
      <c r="Q71" s="783"/>
      <c r="R71" s="784"/>
      <c r="S71" s="787" t="str">
        <f>'PLANILHA '!E31</f>
        <v>m</v>
      </c>
      <c r="T71" s="765">
        <f>SUM(R72:R73)</f>
        <v>400</v>
      </c>
      <c r="U71" s="84">
        <f>T71</f>
        <v>400</v>
      </c>
    </row>
    <row r="72" spans="1:21">
      <c r="A72" s="755"/>
      <c r="B72" s="110"/>
      <c r="C72" s="117"/>
      <c r="D72" s="112"/>
      <c r="E72" s="112"/>
      <c r="F72" s="117"/>
      <c r="G72" s="117"/>
      <c r="H72" s="112"/>
      <c r="I72" s="112"/>
      <c r="J72" s="112"/>
      <c r="K72" s="112"/>
      <c r="L72" s="112">
        <v>400</v>
      </c>
      <c r="M72" s="112"/>
      <c r="N72" s="112"/>
      <c r="O72" s="112"/>
      <c r="P72" s="117"/>
      <c r="Q72" s="112"/>
      <c r="R72" s="117">
        <f>L72</f>
        <v>400</v>
      </c>
      <c r="S72" s="759"/>
      <c r="T72" s="760"/>
    </row>
    <row r="73" spans="1:21" ht="13.8" thickBot="1">
      <c r="A73" s="773"/>
      <c r="B73" s="278"/>
      <c r="C73" s="124"/>
      <c r="D73" s="113"/>
      <c r="E73" s="113"/>
      <c r="F73" s="124"/>
      <c r="G73" s="124"/>
      <c r="H73" s="113"/>
      <c r="I73" s="113"/>
      <c r="J73" s="113"/>
      <c r="K73" s="113"/>
      <c r="L73" s="113"/>
      <c r="M73" s="113"/>
      <c r="N73" s="113"/>
      <c r="O73" s="113"/>
      <c r="P73" s="124"/>
      <c r="Q73" s="113"/>
      <c r="R73" s="124"/>
      <c r="S73" s="788"/>
      <c r="T73" s="772"/>
    </row>
    <row r="74" spans="1:21" ht="13.8" thickBot="1">
      <c r="A74" s="761" t="str">
        <f>'PLANILHA '!A32</f>
        <v>2.18</v>
      </c>
      <c r="B74" s="762" t="str">
        <f>'PLANILHA '!D32</f>
        <v>Placa de obra nas dimensões de 3,0 x 6,0 m, padrão DER-ES</v>
      </c>
      <c r="C74" s="783"/>
      <c r="D74" s="783"/>
      <c r="E74" s="783"/>
      <c r="F74" s="783"/>
      <c r="G74" s="783"/>
      <c r="H74" s="783"/>
      <c r="I74" s="783"/>
      <c r="J74" s="783"/>
      <c r="K74" s="783"/>
      <c r="L74" s="783"/>
      <c r="M74" s="783"/>
      <c r="N74" s="783"/>
      <c r="O74" s="783"/>
      <c r="P74" s="783"/>
      <c r="Q74" s="783"/>
      <c r="R74" s="784"/>
      <c r="S74" s="787" t="str">
        <f>'PLANILHA '!E32</f>
        <v>m²</v>
      </c>
      <c r="T74" s="765">
        <f>SUM(R75:R77)</f>
        <v>38</v>
      </c>
      <c r="U74" s="84">
        <f>T74</f>
        <v>38</v>
      </c>
    </row>
    <row r="75" spans="1:21" ht="13.8">
      <c r="A75" s="755"/>
      <c r="B75" s="202" t="s">
        <v>201</v>
      </c>
      <c r="C75" s="202"/>
      <c r="D75" s="202">
        <v>2</v>
      </c>
      <c r="E75" s="202"/>
      <c r="F75" s="202">
        <v>6</v>
      </c>
      <c r="G75" s="202">
        <v>3</v>
      </c>
      <c r="H75" s="202"/>
      <c r="I75" s="202"/>
      <c r="J75" s="202"/>
      <c r="K75" s="202">
        <f>F75*G75</f>
        <v>18</v>
      </c>
      <c r="L75" s="202"/>
      <c r="M75" s="202"/>
      <c r="N75" s="202"/>
      <c r="O75" s="202">
        <f>K75*D75</f>
        <v>36</v>
      </c>
      <c r="P75" s="117"/>
      <c r="Q75" s="112"/>
      <c r="R75" s="117">
        <f>O75</f>
        <v>36</v>
      </c>
      <c r="S75" s="759"/>
      <c r="T75" s="760"/>
    </row>
    <row r="76" spans="1:21" ht="13.8">
      <c r="A76" s="755"/>
      <c r="B76" s="202" t="s">
        <v>319</v>
      </c>
      <c r="C76" s="202"/>
      <c r="D76" s="202"/>
      <c r="E76" s="202"/>
      <c r="F76" s="202">
        <v>2</v>
      </c>
      <c r="G76" s="202">
        <v>1</v>
      </c>
      <c r="H76" s="202"/>
      <c r="I76" s="202"/>
      <c r="J76" s="202"/>
      <c r="K76" s="202">
        <f>F76*G76</f>
        <v>2</v>
      </c>
      <c r="L76" s="202"/>
      <c r="M76" s="202"/>
      <c r="N76" s="202"/>
      <c r="O76" s="202">
        <f>K76</f>
        <v>2</v>
      </c>
      <c r="P76" s="117"/>
      <c r="Q76" s="112"/>
      <c r="R76" s="117">
        <f>O76</f>
        <v>2</v>
      </c>
      <c r="S76" s="759"/>
      <c r="T76" s="760"/>
    </row>
    <row r="77" spans="1:21" ht="13.8" thickBot="1">
      <c r="A77" s="773"/>
      <c r="B77" s="278"/>
      <c r="C77" s="124"/>
      <c r="D77" s="113"/>
      <c r="E77" s="113"/>
      <c r="F77" s="124"/>
      <c r="G77" s="124"/>
      <c r="H77" s="113"/>
      <c r="I77" s="113"/>
      <c r="J77" s="113"/>
      <c r="K77" s="113"/>
      <c r="L77" s="113"/>
      <c r="M77" s="113"/>
      <c r="N77" s="113"/>
      <c r="O77" s="113"/>
      <c r="P77" s="124"/>
      <c r="Q77" s="113"/>
      <c r="R77" s="124"/>
      <c r="S77" s="788"/>
      <c r="T77" s="772"/>
    </row>
    <row r="78" spans="1:21" ht="13.8" thickBot="1">
      <c r="A78" s="761" t="str">
        <f>'PLANILHA '!A33</f>
        <v>2.19</v>
      </c>
      <c r="B78" s="799" t="str">
        <f>'PLANILHA '!D33</f>
        <v>Pó de pedra inclusive fornecimento, espalhamento e transporte</v>
      </c>
      <c r="C78" s="800"/>
      <c r="D78" s="800"/>
      <c r="E78" s="800"/>
      <c r="F78" s="800"/>
      <c r="G78" s="800"/>
      <c r="H78" s="800"/>
      <c r="I78" s="800"/>
      <c r="J78" s="800"/>
      <c r="K78" s="800"/>
      <c r="L78" s="800"/>
      <c r="M78" s="800"/>
      <c r="N78" s="800"/>
      <c r="O78" s="800"/>
      <c r="P78" s="800"/>
      <c r="Q78" s="800"/>
      <c r="R78" s="800"/>
      <c r="S78" s="803" t="str">
        <f>'PLANILHA '!E33</f>
        <v>m³</v>
      </c>
      <c r="T78" s="806">
        <f>SUM(R79:R80)</f>
        <v>52.5</v>
      </c>
      <c r="U78" s="84">
        <f>T78</f>
        <v>52.5</v>
      </c>
    </row>
    <row r="79" spans="1:21">
      <c r="A79" s="755"/>
      <c r="B79" s="110" t="s">
        <v>322</v>
      </c>
      <c r="C79" s="117"/>
      <c r="D79" s="112"/>
      <c r="E79" s="112"/>
      <c r="F79" s="118">
        <v>30</v>
      </c>
      <c r="G79" s="118">
        <v>35</v>
      </c>
      <c r="H79" s="104"/>
      <c r="I79" s="104">
        <v>0.05</v>
      </c>
      <c r="J79" s="104"/>
      <c r="K79" s="104"/>
      <c r="L79" s="104"/>
      <c r="M79" s="104"/>
      <c r="N79" s="104"/>
      <c r="O79" s="116"/>
      <c r="P79" s="116">
        <f>F79*G79*I79</f>
        <v>52.5</v>
      </c>
      <c r="Q79" s="104"/>
      <c r="R79" s="116">
        <f>P79</f>
        <v>52.5</v>
      </c>
      <c r="S79" s="804"/>
      <c r="T79" s="807"/>
    </row>
    <row r="80" spans="1:21" ht="13.8" thickBot="1">
      <c r="A80" s="773"/>
      <c r="B80" s="278"/>
      <c r="C80" s="124"/>
      <c r="D80" s="113"/>
      <c r="E80" s="113"/>
      <c r="F80" s="124"/>
      <c r="G80" s="124"/>
      <c r="H80" s="113"/>
      <c r="I80" s="113"/>
      <c r="J80" s="113"/>
      <c r="K80" s="113"/>
      <c r="L80" s="113"/>
      <c r="M80" s="113"/>
      <c r="N80" s="113"/>
      <c r="O80" s="113"/>
      <c r="P80" s="124"/>
      <c r="Q80" s="113"/>
      <c r="R80" s="124"/>
      <c r="S80" s="805"/>
      <c r="T80" s="808"/>
    </row>
    <row r="81" spans="1:24" ht="13.8" thickBot="1">
      <c r="A81" s="755" t="str">
        <f>'PLANILHA '!A34</f>
        <v>2.20</v>
      </c>
      <c r="B81" s="757" t="str">
        <f>'PLANILHA '!D34</f>
        <v>Mobilização e desmobilização de container de 51 km até 150 km</v>
      </c>
      <c r="C81" s="758"/>
      <c r="D81" s="758"/>
      <c r="E81" s="758"/>
      <c r="F81" s="758"/>
      <c r="G81" s="758"/>
      <c r="H81" s="758"/>
      <c r="I81" s="758"/>
      <c r="J81" s="758"/>
      <c r="K81" s="758"/>
      <c r="L81" s="758"/>
      <c r="M81" s="758"/>
      <c r="N81" s="758"/>
      <c r="O81" s="758"/>
      <c r="P81" s="758"/>
      <c r="Q81" s="758"/>
      <c r="R81" s="758"/>
      <c r="S81" s="759" t="str">
        <f>'PLANILHA '!E34</f>
        <v>Ud</v>
      </c>
      <c r="T81" s="760">
        <f>SUM(R82:R83)</f>
        <v>10</v>
      </c>
      <c r="U81" s="84">
        <f>T81</f>
        <v>10</v>
      </c>
    </row>
    <row r="82" spans="1:24">
      <c r="A82" s="755"/>
      <c r="B82" s="110"/>
      <c r="C82" s="117"/>
      <c r="D82" s="112">
        <v>10</v>
      </c>
      <c r="E82" s="112"/>
      <c r="F82" s="118"/>
      <c r="G82" s="118"/>
      <c r="H82" s="104"/>
      <c r="I82" s="104"/>
      <c r="J82" s="104"/>
      <c r="K82" s="104"/>
      <c r="L82" s="104"/>
      <c r="M82" s="104"/>
      <c r="N82" s="104"/>
      <c r="O82" s="116"/>
      <c r="P82" s="116"/>
      <c r="Q82" s="104"/>
      <c r="R82" s="116">
        <f>D82</f>
        <v>10</v>
      </c>
      <c r="S82" s="759"/>
      <c r="T82" s="760"/>
    </row>
    <row r="83" spans="1:24">
      <c r="A83" s="756"/>
      <c r="B83" s="110"/>
      <c r="C83" s="117"/>
      <c r="D83" s="112"/>
      <c r="E83" s="112"/>
      <c r="F83" s="117"/>
      <c r="G83" s="117"/>
      <c r="H83" s="112"/>
      <c r="I83" s="112"/>
      <c r="J83" s="112"/>
      <c r="K83" s="112"/>
      <c r="L83" s="112"/>
      <c r="M83" s="112"/>
      <c r="N83" s="112"/>
      <c r="O83" s="112"/>
      <c r="P83" s="117"/>
      <c r="Q83" s="112"/>
      <c r="R83" s="117"/>
      <c r="S83" s="759"/>
      <c r="T83" s="760"/>
    </row>
    <row r="84" spans="1:24">
      <c r="A84" s="294">
        <f>'PLANILHA '!A35</f>
        <v>3</v>
      </c>
      <c r="B84" s="187" t="str">
        <f>'PLANILHA '!D35</f>
        <v>SUPERESTRUTURA PONTE OAE</v>
      </c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295"/>
      <c r="U84" s="75"/>
      <c r="V84" s="22"/>
      <c r="W84" s="22"/>
      <c r="X84" s="76"/>
    </row>
    <row r="85" spans="1:24" ht="13.8" thickBot="1">
      <c r="A85" s="294" t="str">
        <f>'PLANILHA '!A15</f>
        <v>2.1</v>
      </c>
      <c r="B85" s="809" t="str">
        <f>'PLANILHA '!D36</f>
        <v>DEMOLIÇÃO DA PASSARELA/RECUPERAÇÃO DAS ARMADURAS REMANESCENTES</v>
      </c>
      <c r="C85" s="809"/>
      <c r="D85" s="809"/>
      <c r="E85" s="809"/>
      <c r="F85" s="809"/>
      <c r="G85" s="809"/>
      <c r="H85" s="183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296"/>
      <c r="U85" s="75"/>
      <c r="V85" s="22"/>
      <c r="W85" s="22"/>
      <c r="X85" s="76"/>
    </row>
    <row r="86" spans="1:24" ht="13.95" customHeight="1" thickBot="1">
      <c r="A86" s="774" t="str">
        <f>'PLANILHA '!A37</f>
        <v>3.1.1</v>
      </c>
      <c r="B86" s="791" t="str">
        <f>'PLANILHA '!D37</f>
        <v>DEMOLICAO E REMOCAO DE ESTRUTURAS METALICAS TRELICADAS DE VERGALHOES E/OU PERFIS LEVES DE ACO,MEDIDAS PELO PESO REMOVIDO Observacao: 3%-DESGASTE DE FERRAMENTAS E EPI</v>
      </c>
      <c r="C86" s="811"/>
      <c r="D86" s="811"/>
      <c r="E86" s="811"/>
      <c r="F86" s="811"/>
      <c r="G86" s="811"/>
      <c r="H86" s="811"/>
      <c r="I86" s="811"/>
      <c r="J86" s="811"/>
      <c r="K86" s="811"/>
      <c r="L86" s="811"/>
      <c r="M86" s="811"/>
      <c r="N86" s="811"/>
      <c r="O86" s="811"/>
      <c r="P86" s="811"/>
      <c r="Q86" s="811"/>
      <c r="R86" s="812"/>
      <c r="S86" s="767" t="str">
        <f>'PLANILHA '!E37</f>
        <v>kg</v>
      </c>
      <c r="T86" s="810">
        <f>SUM(R87:R92)</f>
        <v>42173.176500000001</v>
      </c>
      <c r="U86" s="84">
        <f>T86</f>
        <v>42173.176500000001</v>
      </c>
      <c r="V86" s="21"/>
      <c r="W86" s="21"/>
      <c r="X86" s="74"/>
    </row>
    <row r="87" spans="1:24">
      <c r="A87" s="755"/>
      <c r="B87" s="190" t="s">
        <v>249</v>
      </c>
      <c r="C87" s="120"/>
      <c r="D87" s="120">
        <v>5</v>
      </c>
      <c r="E87" s="120"/>
      <c r="F87" s="120">
        <f>71.1*2</f>
        <v>142.19999999999999</v>
      </c>
      <c r="G87" s="120"/>
      <c r="H87" s="120"/>
      <c r="I87" s="120">
        <v>0.05</v>
      </c>
      <c r="J87" s="120"/>
      <c r="K87" s="120"/>
      <c r="L87" s="120"/>
      <c r="M87" s="120"/>
      <c r="N87" s="120"/>
      <c r="O87" s="192">
        <f>(3.14*0.025^2)-(3.14*0.02^2)</f>
        <v>7.065000000000001E-4</v>
      </c>
      <c r="P87" s="192">
        <f>O87*F87</f>
        <v>0.10046430000000001</v>
      </c>
      <c r="Q87" s="120">
        <v>7800</v>
      </c>
      <c r="R87" s="120">
        <f>P87*D87*Q87</f>
        <v>3918.1077000000005</v>
      </c>
      <c r="S87" s="767"/>
      <c r="T87" s="810"/>
      <c r="U87" s="75"/>
      <c r="V87" s="22" t="s">
        <v>119</v>
      </c>
      <c r="W87" s="22"/>
      <c r="X87" s="76"/>
    </row>
    <row r="88" spans="1:24">
      <c r="A88" s="755"/>
      <c r="B88" s="190" t="s">
        <v>250</v>
      </c>
      <c r="C88" s="191"/>
      <c r="D88" s="120">
        <f>(71.1*2)/1.5+1.2</f>
        <v>96</v>
      </c>
      <c r="E88" s="120"/>
      <c r="F88" s="120"/>
      <c r="G88" s="191"/>
      <c r="H88" s="191">
        <v>1.5</v>
      </c>
      <c r="I88" s="120">
        <v>0.05</v>
      </c>
      <c r="J88" s="191"/>
      <c r="K88" s="191"/>
      <c r="L88" s="191"/>
      <c r="M88" s="191"/>
      <c r="N88" s="191"/>
      <c r="O88" s="192">
        <f>(3.14*0.025^2)-(3.14*0.02^2)</f>
        <v>7.065000000000001E-4</v>
      </c>
      <c r="P88" s="193">
        <f>O88*H88*D88</f>
        <v>0.10173600000000002</v>
      </c>
      <c r="Q88" s="120">
        <v>7800</v>
      </c>
      <c r="R88" s="120">
        <f>P88*Q88</f>
        <v>793.54080000000022</v>
      </c>
      <c r="S88" s="767"/>
      <c r="T88" s="810"/>
      <c r="U88" s="75"/>
      <c r="V88" s="22"/>
      <c r="W88" s="22"/>
      <c r="X88" s="76"/>
    </row>
    <row r="89" spans="1:24">
      <c r="A89" s="755"/>
      <c r="B89" s="190" t="s">
        <v>251</v>
      </c>
      <c r="C89" s="191"/>
      <c r="D89" s="120"/>
      <c r="E89" s="120"/>
      <c r="F89" s="120">
        <f>71.1*2</f>
        <v>142.19999999999999</v>
      </c>
      <c r="G89" s="191">
        <v>1.5</v>
      </c>
      <c r="H89" s="191"/>
      <c r="I89" s="191">
        <v>0.02</v>
      </c>
      <c r="J89" s="191"/>
      <c r="K89" s="191"/>
      <c r="L89" s="191"/>
      <c r="M89" s="191"/>
      <c r="N89" s="191"/>
      <c r="O89" s="192"/>
      <c r="P89" s="191">
        <f>F89*G89*I89</f>
        <v>4.266</v>
      </c>
      <c r="Q89" s="120">
        <v>7800</v>
      </c>
      <c r="R89" s="120">
        <f>P89*Q89</f>
        <v>33274.800000000003</v>
      </c>
      <c r="S89" s="767"/>
      <c r="T89" s="810"/>
      <c r="U89" s="75"/>
      <c r="V89" s="22"/>
      <c r="W89" s="22"/>
      <c r="X89" s="76"/>
    </row>
    <row r="90" spans="1:24">
      <c r="A90" s="755"/>
      <c r="B90" s="190" t="s">
        <v>252</v>
      </c>
      <c r="C90" s="191"/>
      <c r="D90" s="120">
        <f>((71.1*2)/1)-0.2</f>
        <v>142</v>
      </c>
      <c r="E90" s="120"/>
      <c r="F90" s="120"/>
      <c r="G90" s="191">
        <v>1.5</v>
      </c>
      <c r="H90" s="191"/>
      <c r="I90" s="191"/>
      <c r="J90" s="191"/>
      <c r="K90" s="191"/>
      <c r="L90" s="191"/>
      <c r="M90" s="191"/>
      <c r="N90" s="191"/>
      <c r="O90" s="192">
        <f>(0.01*0.05*2)+(0.005*0.08)</f>
        <v>1.4E-3</v>
      </c>
      <c r="P90" s="191"/>
      <c r="Q90" s="120">
        <v>7800</v>
      </c>
      <c r="R90" s="120">
        <f>O90*G90*D90*Q90</f>
        <v>2325.9599999999996</v>
      </c>
      <c r="S90" s="767"/>
      <c r="T90" s="810"/>
      <c r="U90" s="75"/>
      <c r="V90" s="22"/>
      <c r="W90" s="22"/>
      <c r="X90" s="76"/>
    </row>
    <row r="91" spans="1:24">
      <c r="A91" s="755"/>
      <c r="B91" s="190" t="s">
        <v>253</v>
      </c>
      <c r="C91" s="191"/>
      <c r="D91" s="120">
        <f>((71.1*2)/1)-0.2</f>
        <v>142</v>
      </c>
      <c r="E91" s="120"/>
      <c r="F91" s="120"/>
      <c r="G91" s="191">
        <v>1.2</v>
      </c>
      <c r="H91" s="191"/>
      <c r="I91" s="191"/>
      <c r="J91" s="191"/>
      <c r="K91" s="191"/>
      <c r="L91" s="191"/>
      <c r="M91" s="191"/>
      <c r="N91" s="191"/>
      <c r="O91" s="192">
        <f>(0.01*0.05*2)+(0.005*0.08)</f>
        <v>1.4E-3</v>
      </c>
      <c r="P91" s="191"/>
      <c r="Q91" s="120">
        <v>7800</v>
      </c>
      <c r="R91" s="120">
        <f>O91*G91*D91*Q91</f>
        <v>1860.7679999999998</v>
      </c>
      <c r="S91" s="767"/>
      <c r="T91" s="810"/>
      <c r="U91" s="75"/>
      <c r="V91" s="22"/>
      <c r="W91" s="22"/>
      <c r="X91" s="76"/>
    </row>
    <row r="92" spans="1:24" ht="13.8" thickBot="1">
      <c r="A92" s="773"/>
      <c r="B92" s="190"/>
      <c r="C92" s="191"/>
      <c r="D92" s="120"/>
      <c r="E92" s="120"/>
      <c r="F92" s="120"/>
      <c r="G92" s="191"/>
      <c r="H92" s="191"/>
      <c r="I92" s="191"/>
      <c r="J92" s="191"/>
      <c r="K92" s="191"/>
      <c r="L92" s="191"/>
      <c r="M92" s="191"/>
      <c r="N92" s="191"/>
      <c r="O92" s="192"/>
      <c r="P92" s="191"/>
      <c r="Q92" s="191"/>
      <c r="R92" s="120"/>
      <c r="S92" s="767"/>
      <c r="T92" s="810"/>
      <c r="U92" s="75"/>
      <c r="V92" s="22"/>
      <c r="W92" s="22"/>
      <c r="X92" s="76"/>
    </row>
    <row r="93" spans="1:24" ht="13.95" customHeight="1" thickBot="1">
      <c r="A93" s="761" t="str">
        <f>'PLANILHA '!A38</f>
        <v>3.1.2</v>
      </c>
      <c r="B93" s="762" t="str">
        <f>'PLANILHA '!D38</f>
        <v>Demolição de concreto armado</v>
      </c>
      <c r="C93" s="763"/>
      <c r="D93" s="763"/>
      <c r="E93" s="763"/>
      <c r="F93" s="763"/>
      <c r="G93" s="763"/>
      <c r="H93" s="763"/>
      <c r="I93" s="763"/>
      <c r="J93" s="763"/>
      <c r="K93" s="763"/>
      <c r="L93" s="763"/>
      <c r="M93" s="763"/>
      <c r="N93" s="763"/>
      <c r="O93" s="763"/>
      <c r="P93" s="763"/>
      <c r="Q93" s="763"/>
      <c r="R93" s="764"/>
      <c r="S93" s="766" t="str">
        <f>'PLANILHA '!E38</f>
        <v>m³</v>
      </c>
      <c r="T93" s="765">
        <f>SUM(R94:R99)</f>
        <v>37.657959999999996</v>
      </c>
      <c r="U93" s="84">
        <f>T93</f>
        <v>37.657959999999996</v>
      </c>
      <c r="V93" s="21"/>
      <c r="W93" s="21"/>
      <c r="X93" s="74"/>
    </row>
    <row r="94" spans="1:24">
      <c r="A94" s="755"/>
      <c r="B94" s="108" t="s">
        <v>248</v>
      </c>
      <c r="C94" s="104"/>
      <c r="D94" s="104">
        <v>2</v>
      </c>
      <c r="E94" s="104"/>
      <c r="F94" s="118">
        <f>71.1</f>
        <v>71.099999999999994</v>
      </c>
      <c r="G94" s="104">
        <v>0.55000000000000004</v>
      </c>
      <c r="H94" s="104">
        <v>0.25</v>
      </c>
      <c r="I94" s="104"/>
      <c r="J94" s="104"/>
      <c r="K94" s="104"/>
      <c r="L94" s="104"/>
      <c r="M94" s="104"/>
      <c r="N94" s="104"/>
      <c r="O94" s="104">
        <f>H94*G94</f>
        <v>0.13750000000000001</v>
      </c>
      <c r="P94" s="116">
        <f>O94*F94</f>
        <v>9.7762499999999992</v>
      </c>
      <c r="Q94" s="104">
        <v>1.2</v>
      </c>
      <c r="R94" s="116">
        <f>P94*D94*Q94</f>
        <v>23.462999999999997</v>
      </c>
      <c r="S94" s="767"/>
      <c r="T94" s="760"/>
      <c r="U94" s="75"/>
      <c r="V94" s="22" t="s">
        <v>119</v>
      </c>
      <c r="W94" s="22"/>
      <c r="X94" s="76"/>
    </row>
    <row r="95" spans="1:24">
      <c r="A95" s="755"/>
      <c r="B95" s="108" t="s">
        <v>247</v>
      </c>
      <c r="C95" s="112"/>
      <c r="D95" s="104">
        <v>62</v>
      </c>
      <c r="E95" s="104"/>
      <c r="F95" s="118"/>
      <c r="G95" s="112">
        <v>0.2</v>
      </c>
      <c r="H95" s="112">
        <v>0.46</v>
      </c>
      <c r="I95" s="112">
        <v>0.2</v>
      </c>
      <c r="J95" s="112"/>
      <c r="K95" s="112"/>
      <c r="L95" s="112"/>
      <c r="M95" s="112"/>
      <c r="N95" s="220"/>
      <c r="O95" s="125"/>
      <c r="P95" s="189">
        <f>I95*H95*G95</f>
        <v>1.8400000000000003E-2</v>
      </c>
      <c r="Q95" s="112">
        <v>1.2</v>
      </c>
      <c r="R95" s="104">
        <f>P95*D95*Q95</f>
        <v>1.3689600000000002</v>
      </c>
      <c r="S95" s="767"/>
      <c r="T95" s="760"/>
      <c r="U95" s="75"/>
      <c r="V95" s="22"/>
      <c r="W95" s="22"/>
      <c r="X95" s="76"/>
    </row>
    <row r="96" spans="1:24">
      <c r="A96" s="755"/>
      <c r="B96" s="132" t="s">
        <v>339</v>
      </c>
      <c r="C96" s="132"/>
      <c r="D96" s="132">
        <v>2</v>
      </c>
      <c r="E96" s="132"/>
      <c r="F96" s="132"/>
      <c r="G96" s="132">
        <v>6.1</v>
      </c>
      <c r="H96" s="132">
        <v>0.6</v>
      </c>
      <c r="I96" s="132">
        <v>0.5</v>
      </c>
      <c r="J96" s="132"/>
      <c r="K96" s="132"/>
      <c r="L96" s="132"/>
      <c r="M96" s="132"/>
      <c r="N96" s="132"/>
      <c r="O96" s="132"/>
      <c r="P96" s="104">
        <f>G96*H96*I96</f>
        <v>1.8299999999999998</v>
      </c>
      <c r="Q96" s="104">
        <v>1.2</v>
      </c>
      <c r="R96" s="104">
        <f>P96*D96*Q96</f>
        <v>4.3919999999999995</v>
      </c>
      <c r="S96" s="767"/>
      <c r="T96" s="760"/>
      <c r="U96" s="75"/>
      <c r="V96" s="22"/>
      <c r="W96" s="22"/>
      <c r="X96" s="76"/>
    </row>
    <row r="97" spans="1:24">
      <c r="A97" s="755"/>
      <c r="B97" s="108" t="s">
        <v>390</v>
      </c>
      <c r="C97" s="112"/>
      <c r="D97" s="104">
        <v>2</v>
      </c>
      <c r="E97" s="104"/>
      <c r="F97" s="118">
        <v>5</v>
      </c>
      <c r="G97" s="112">
        <v>0.5</v>
      </c>
      <c r="H97" s="112">
        <v>0.5</v>
      </c>
      <c r="I97" s="112"/>
      <c r="J97" s="112"/>
      <c r="K97" s="112"/>
      <c r="L97" s="112"/>
      <c r="M97" s="112"/>
      <c r="N97" s="112"/>
      <c r="O97" s="104"/>
      <c r="P97" s="112">
        <f>H97*G97*F97</f>
        <v>1.25</v>
      </c>
      <c r="Q97" s="112">
        <v>1.3</v>
      </c>
      <c r="R97" s="104">
        <f>P97*D97*Q97</f>
        <v>3.25</v>
      </c>
      <c r="S97" s="767"/>
      <c r="T97" s="760"/>
      <c r="U97" s="75"/>
      <c r="V97" s="22"/>
      <c r="W97" s="22"/>
      <c r="X97" s="76"/>
    </row>
    <row r="98" spans="1:24">
      <c r="A98" s="755"/>
      <c r="B98" s="108" t="s">
        <v>399</v>
      </c>
      <c r="C98" s="112"/>
      <c r="D98" s="104">
        <v>4</v>
      </c>
      <c r="E98" s="104"/>
      <c r="F98" s="116">
        <v>1.2</v>
      </c>
      <c r="G98" s="117">
        <v>1.2</v>
      </c>
      <c r="H98" s="112">
        <v>1.2</v>
      </c>
      <c r="I98" s="112">
        <v>0.15</v>
      </c>
      <c r="J98" s="112"/>
      <c r="K98" s="112"/>
      <c r="L98" s="112"/>
      <c r="M98" s="112"/>
      <c r="N98" s="112"/>
      <c r="O98" s="104"/>
      <c r="P98" s="112">
        <f>(F98*G98*I98*2)+(F98*G98*I98*4)</f>
        <v>1.296</v>
      </c>
      <c r="Q98" s="112"/>
      <c r="R98" s="104">
        <f>P98*D98</f>
        <v>5.1840000000000002</v>
      </c>
      <c r="S98" s="767"/>
      <c r="T98" s="760"/>
      <c r="U98" s="75"/>
      <c r="V98" s="22"/>
      <c r="W98" s="22"/>
      <c r="X98" s="76"/>
    </row>
    <row r="99" spans="1:24" ht="13.8" thickBot="1">
      <c r="A99" s="773"/>
      <c r="B99" s="127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768"/>
      <c r="T99" s="772"/>
      <c r="U99" s="75"/>
      <c r="V99" s="22"/>
      <c r="W99" s="22"/>
      <c r="X99" s="76"/>
    </row>
    <row r="100" spans="1:24" ht="13.95" customHeight="1" thickBot="1">
      <c r="A100" s="761" t="str">
        <f>'PLANILHA '!A39</f>
        <v>3.1.3</v>
      </c>
      <c r="B100" s="762" t="str">
        <f>'PLANILHA '!D39</f>
        <v>CORTE COM MACARICO MANUAL DE OXIACETILENO,EM CHAPA DE ACO NA ESPESSURA DE 1/2" Observacao: 3%-DESGASTE DE FERRAMENTAS E EPI</v>
      </c>
      <c r="C100" s="763"/>
      <c r="D100" s="763"/>
      <c r="E100" s="763"/>
      <c r="F100" s="763"/>
      <c r="G100" s="763"/>
      <c r="H100" s="763"/>
      <c r="I100" s="763"/>
      <c r="J100" s="763"/>
      <c r="K100" s="763"/>
      <c r="L100" s="763"/>
      <c r="M100" s="763"/>
      <c r="N100" s="763"/>
      <c r="O100" s="763"/>
      <c r="P100" s="763"/>
      <c r="Q100" s="763"/>
      <c r="R100" s="764"/>
      <c r="S100" s="766" t="str">
        <f>'PLANILHA '!E39</f>
        <v>m</v>
      </c>
      <c r="T100" s="765">
        <f>SUM(R101:R102)</f>
        <v>199.07999999999998</v>
      </c>
      <c r="U100" s="84">
        <f>T100</f>
        <v>199.07999999999998</v>
      </c>
      <c r="V100" s="21"/>
      <c r="W100" s="21"/>
      <c r="X100" s="74"/>
    </row>
    <row r="101" spans="1:24">
      <c r="A101" s="755"/>
      <c r="B101" s="108" t="s">
        <v>245</v>
      </c>
      <c r="C101" s="104"/>
      <c r="D101" s="104">
        <v>2</v>
      </c>
      <c r="E101" s="104"/>
      <c r="F101" s="116">
        <v>71.099999999999994</v>
      </c>
      <c r="G101" s="116"/>
      <c r="H101" s="104"/>
      <c r="I101" s="104"/>
      <c r="J101" s="104"/>
      <c r="K101" s="104"/>
      <c r="L101" s="104"/>
      <c r="M101" s="104"/>
      <c r="N101" s="104"/>
      <c r="O101" s="125"/>
      <c r="P101" s="116"/>
      <c r="Q101" s="104">
        <v>1.4</v>
      </c>
      <c r="R101" s="116">
        <f>D101*F101*Q101</f>
        <v>199.07999999999998</v>
      </c>
      <c r="S101" s="767"/>
      <c r="T101" s="760"/>
      <c r="U101" s="75"/>
      <c r="V101" s="22" t="s">
        <v>119</v>
      </c>
      <c r="W101" s="22"/>
      <c r="X101" s="76"/>
    </row>
    <row r="102" spans="1:24" ht="13.8" thickBot="1">
      <c r="A102" s="773"/>
      <c r="B102" s="276"/>
      <c r="C102" s="277"/>
      <c r="D102" s="277"/>
      <c r="E102" s="277"/>
      <c r="F102" s="277"/>
      <c r="G102" s="277"/>
      <c r="H102" s="277"/>
      <c r="I102" s="277"/>
      <c r="J102" s="277"/>
      <c r="K102" s="277"/>
      <c r="L102" s="113"/>
      <c r="M102" s="113"/>
      <c r="N102" s="113"/>
      <c r="O102" s="271"/>
      <c r="P102" s="124"/>
      <c r="Q102" s="113"/>
      <c r="R102" s="124"/>
      <c r="S102" s="768"/>
      <c r="T102" s="772"/>
      <c r="U102" s="75"/>
      <c r="V102" s="22"/>
      <c r="W102" s="22"/>
      <c r="X102" s="76"/>
    </row>
    <row r="103" spans="1:24" ht="13.95" customHeight="1" thickBot="1">
      <c r="A103" s="761" t="str">
        <f>'PLANILHA '!A40</f>
        <v>3.1.4</v>
      </c>
      <c r="B103" s="762" t="str">
        <f>'PLANILHA '!D40</f>
        <v>Corte em concreto com discos diamantados para pisos e lajes profundidade de corte 5 cm</v>
      </c>
      <c r="C103" s="763"/>
      <c r="D103" s="763"/>
      <c r="E103" s="763"/>
      <c r="F103" s="763"/>
      <c r="G103" s="763"/>
      <c r="H103" s="763"/>
      <c r="I103" s="763"/>
      <c r="J103" s="763"/>
      <c r="K103" s="763"/>
      <c r="L103" s="763"/>
      <c r="M103" s="763"/>
      <c r="N103" s="763"/>
      <c r="O103" s="763"/>
      <c r="P103" s="763"/>
      <c r="Q103" s="763"/>
      <c r="R103" s="764"/>
      <c r="S103" s="766" t="str">
        <f>'PLANILHA '!E40</f>
        <v>m</v>
      </c>
      <c r="T103" s="765">
        <f>SUM(R104:R106)</f>
        <v>313.65599999999995</v>
      </c>
      <c r="U103" s="84">
        <f>T103</f>
        <v>313.65599999999995</v>
      </c>
      <c r="V103" s="21"/>
      <c r="W103" s="21"/>
      <c r="X103" s="74"/>
    </row>
    <row r="104" spans="1:24">
      <c r="A104" s="755"/>
      <c r="B104" s="108" t="s">
        <v>244</v>
      </c>
      <c r="C104" s="104"/>
      <c r="D104" s="104">
        <v>2</v>
      </c>
      <c r="E104" s="104"/>
      <c r="F104" s="118">
        <v>71.099999999999994</v>
      </c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>
        <v>1.4</v>
      </c>
      <c r="R104" s="116">
        <f>F104*D104*Q104</f>
        <v>199.07999999999998</v>
      </c>
      <c r="S104" s="767"/>
      <c r="T104" s="760"/>
      <c r="U104" s="75"/>
      <c r="V104" s="22" t="s">
        <v>119</v>
      </c>
      <c r="W104" s="22"/>
      <c r="X104" s="76"/>
    </row>
    <row r="105" spans="1:24">
      <c r="A105" s="755"/>
      <c r="B105" s="108" t="s">
        <v>246</v>
      </c>
      <c r="C105" s="104"/>
      <c r="D105" s="104">
        <v>62</v>
      </c>
      <c r="E105" s="104"/>
      <c r="F105" s="118"/>
      <c r="G105" s="104"/>
      <c r="H105" s="104"/>
      <c r="I105" s="104"/>
      <c r="J105" s="104"/>
      <c r="K105" s="104"/>
      <c r="L105" s="104">
        <f>0.2*2+0.46*2</f>
        <v>1.32</v>
      </c>
      <c r="M105" s="104"/>
      <c r="N105" s="104"/>
      <c r="O105" s="104"/>
      <c r="P105" s="104"/>
      <c r="Q105" s="104">
        <v>1.4</v>
      </c>
      <c r="R105" s="116">
        <f>L105*D105*Q105</f>
        <v>114.57599999999999</v>
      </c>
      <c r="S105" s="767"/>
      <c r="T105" s="760"/>
      <c r="U105" s="75"/>
      <c r="V105" s="22"/>
      <c r="W105" s="22"/>
      <c r="X105" s="76"/>
    </row>
    <row r="106" spans="1:24" ht="13.8" thickBot="1">
      <c r="A106" s="773"/>
      <c r="B106" s="127"/>
      <c r="C106" s="113"/>
      <c r="D106" s="113"/>
      <c r="E106" s="113"/>
      <c r="F106" s="128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24"/>
      <c r="S106" s="768"/>
      <c r="T106" s="772"/>
      <c r="U106" s="75"/>
      <c r="V106" s="22"/>
      <c r="W106" s="22"/>
      <c r="X106" s="76"/>
    </row>
    <row r="107" spans="1:24" ht="13.95" customHeight="1" thickBot="1">
      <c r="A107" s="761" t="str">
        <f>'PLANILHA '!A41</f>
        <v>3.1.5</v>
      </c>
      <c r="B107" s="769" t="str">
        <f>'PLANILHA '!D41</f>
        <v>Limpeza de aço com lixamento e escovação com escova de aço, até a completa remoção de partículas soltas, materiais indesejáveis e corrosão</v>
      </c>
      <c r="C107" s="770"/>
      <c r="D107" s="770"/>
      <c r="E107" s="770"/>
      <c r="F107" s="770"/>
      <c r="G107" s="770"/>
      <c r="H107" s="770"/>
      <c r="I107" s="770"/>
      <c r="J107" s="770"/>
      <c r="K107" s="770"/>
      <c r="L107" s="770"/>
      <c r="M107" s="770"/>
      <c r="N107" s="770"/>
      <c r="O107" s="770"/>
      <c r="P107" s="770"/>
      <c r="Q107" s="770"/>
      <c r="R107" s="771"/>
      <c r="S107" s="766" t="str">
        <f>'PLANILHA '!E41</f>
        <v>m²</v>
      </c>
      <c r="T107" s="765">
        <f>SUM(R108:R110)</f>
        <v>72.685199999999995</v>
      </c>
      <c r="U107" s="84">
        <f>T107</f>
        <v>72.685199999999995</v>
      </c>
      <c r="V107" s="21"/>
      <c r="W107" s="21"/>
      <c r="X107" s="74"/>
    </row>
    <row r="108" spans="1:24">
      <c r="A108" s="755"/>
      <c r="B108" s="108" t="s">
        <v>254</v>
      </c>
      <c r="C108" s="104"/>
      <c r="D108" s="104">
        <v>62</v>
      </c>
      <c r="E108" s="104"/>
      <c r="F108" s="116"/>
      <c r="G108" s="116"/>
      <c r="H108" s="116"/>
      <c r="I108" s="104"/>
      <c r="J108" s="104"/>
      <c r="K108" s="104"/>
      <c r="L108" s="104"/>
      <c r="M108" s="104"/>
      <c r="N108" s="104"/>
      <c r="O108" s="104">
        <f>(0.2*0.2*2)+(0.46*0.2*2)</f>
        <v>0.26400000000000001</v>
      </c>
      <c r="P108" s="104"/>
      <c r="Q108" s="104">
        <v>1.4</v>
      </c>
      <c r="R108" s="116">
        <f>O108*D108*Q108</f>
        <v>22.915200000000002</v>
      </c>
      <c r="S108" s="767"/>
      <c r="T108" s="760"/>
      <c r="U108" s="75"/>
      <c r="V108" s="22" t="s">
        <v>119</v>
      </c>
      <c r="W108" s="22"/>
      <c r="X108" s="76"/>
    </row>
    <row r="109" spans="1:24">
      <c r="A109" s="755"/>
      <c r="B109" s="108" t="s">
        <v>255</v>
      </c>
      <c r="C109" s="104"/>
      <c r="D109" s="104"/>
      <c r="E109" s="104"/>
      <c r="F109" s="116">
        <f>71.1*2</f>
        <v>142.19999999999999</v>
      </c>
      <c r="G109" s="116"/>
      <c r="H109" s="116">
        <v>0.25</v>
      </c>
      <c r="I109" s="104"/>
      <c r="J109" s="104"/>
      <c r="K109" s="104"/>
      <c r="L109" s="104"/>
      <c r="M109" s="104"/>
      <c r="N109" s="104"/>
      <c r="O109" s="104">
        <f>F109*H109</f>
        <v>35.549999999999997</v>
      </c>
      <c r="P109" s="104"/>
      <c r="Q109" s="104">
        <v>1.4</v>
      </c>
      <c r="R109" s="116">
        <f>O109*Q109</f>
        <v>49.769999999999996</v>
      </c>
      <c r="S109" s="767"/>
      <c r="T109" s="760"/>
      <c r="U109" s="75"/>
      <c r="V109" s="22"/>
      <c r="W109" s="22"/>
      <c r="X109" s="76"/>
    </row>
    <row r="110" spans="1:24" ht="13.8" thickBot="1">
      <c r="A110" s="773"/>
      <c r="B110" s="127"/>
      <c r="C110" s="113"/>
      <c r="D110" s="113"/>
      <c r="E110" s="113"/>
      <c r="F110" s="124"/>
      <c r="G110" s="124"/>
      <c r="H110" s="124"/>
      <c r="I110" s="113"/>
      <c r="J110" s="113"/>
      <c r="K110" s="113"/>
      <c r="L110" s="113"/>
      <c r="M110" s="113"/>
      <c r="N110" s="113"/>
      <c r="O110" s="113"/>
      <c r="P110" s="113"/>
      <c r="Q110" s="113"/>
      <c r="R110" s="124"/>
      <c r="S110" s="768"/>
      <c r="T110" s="772"/>
      <c r="U110" s="75"/>
      <c r="V110" s="22"/>
      <c r="W110" s="22"/>
      <c r="X110" s="76"/>
    </row>
    <row r="111" spans="1:24" ht="13.95" customHeight="1" thickBot="1">
      <c r="A111" s="761" t="str">
        <f>'PLANILHA '!A42</f>
        <v>3.1.6</v>
      </c>
      <c r="B111" s="762" t="str">
        <f>'PLANILHA '!D42</f>
        <v>Recuperação estrutural com uso de argamassa polimérica (espessura média=3,5 cm)</v>
      </c>
      <c r="C111" s="763"/>
      <c r="D111" s="763"/>
      <c r="E111" s="763"/>
      <c r="F111" s="763"/>
      <c r="G111" s="763"/>
      <c r="H111" s="763"/>
      <c r="I111" s="763"/>
      <c r="J111" s="763"/>
      <c r="K111" s="763"/>
      <c r="L111" s="763"/>
      <c r="M111" s="763"/>
      <c r="N111" s="763"/>
      <c r="O111" s="763"/>
      <c r="P111" s="763"/>
      <c r="Q111" s="763"/>
      <c r="R111" s="764"/>
      <c r="S111" s="766" t="str">
        <f>'PLANILHA '!E42</f>
        <v>m²</v>
      </c>
      <c r="T111" s="765">
        <f>SUM(R112:R114)</f>
        <v>72.685199999999995</v>
      </c>
      <c r="U111" s="84">
        <f>T111</f>
        <v>72.685199999999995</v>
      </c>
      <c r="V111" s="21"/>
      <c r="W111" s="21"/>
      <c r="X111" s="74"/>
    </row>
    <row r="112" spans="1:24">
      <c r="A112" s="755"/>
      <c r="B112" s="108" t="s">
        <v>254</v>
      </c>
      <c r="C112" s="104"/>
      <c r="D112" s="104">
        <v>62</v>
      </c>
      <c r="E112" s="104"/>
      <c r="F112" s="116"/>
      <c r="G112" s="116"/>
      <c r="H112" s="116"/>
      <c r="I112" s="104"/>
      <c r="J112" s="104"/>
      <c r="K112" s="104"/>
      <c r="L112" s="104"/>
      <c r="M112" s="104"/>
      <c r="N112" s="104"/>
      <c r="O112" s="104">
        <f>(0.2*0.2*2)+(0.46*0.2*2)</f>
        <v>0.26400000000000001</v>
      </c>
      <c r="P112" s="104"/>
      <c r="Q112" s="104">
        <v>1.4</v>
      </c>
      <c r="R112" s="116">
        <f>O112*D112*Q112</f>
        <v>22.915200000000002</v>
      </c>
      <c r="S112" s="767"/>
      <c r="T112" s="760"/>
      <c r="U112" s="75"/>
      <c r="V112" s="22" t="s">
        <v>119</v>
      </c>
      <c r="W112" s="22"/>
      <c r="X112" s="76"/>
    </row>
    <row r="113" spans="1:24">
      <c r="A113" s="755"/>
      <c r="B113" s="108" t="s">
        <v>255</v>
      </c>
      <c r="C113" s="104"/>
      <c r="D113" s="104"/>
      <c r="E113" s="104"/>
      <c r="F113" s="116">
        <f>71.1*2</f>
        <v>142.19999999999999</v>
      </c>
      <c r="G113" s="116"/>
      <c r="H113" s="116">
        <v>0.25</v>
      </c>
      <c r="I113" s="104"/>
      <c r="J113" s="104"/>
      <c r="K113" s="104"/>
      <c r="L113" s="104"/>
      <c r="M113" s="104"/>
      <c r="N113" s="104"/>
      <c r="O113" s="104">
        <f>F113*H113</f>
        <v>35.549999999999997</v>
      </c>
      <c r="P113" s="104"/>
      <c r="Q113" s="104">
        <v>1.4</v>
      </c>
      <c r="R113" s="116">
        <f>O113*Q113</f>
        <v>49.769999999999996</v>
      </c>
      <c r="S113" s="767"/>
      <c r="T113" s="760"/>
      <c r="U113" s="75"/>
      <c r="V113" s="22"/>
      <c r="W113" s="22"/>
      <c r="X113" s="76"/>
    </row>
    <row r="114" spans="1:24" ht="13.8" thickBot="1">
      <c r="A114" s="773"/>
      <c r="B114" s="127"/>
      <c r="C114" s="113"/>
      <c r="D114" s="113"/>
      <c r="E114" s="113"/>
      <c r="F114" s="124"/>
      <c r="G114" s="124"/>
      <c r="H114" s="124"/>
      <c r="I114" s="113"/>
      <c r="J114" s="113"/>
      <c r="K114" s="113"/>
      <c r="L114" s="113"/>
      <c r="M114" s="113"/>
      <c r="N114" s="113"/>
      <c r="O114" s="113"/>
      <c r="P114" s="113"/>
      <c r="Q114" s="113"/>
      <c r="R114" s="124"/>
      <c r="S114" s="768"/>
      <c r="T114" s="772"/>
      <c r="U114" s="75"/>
      <c r="V114" s="22"/>
      <c r="W114" s="22"/>
      <c r="X114" s="76"/>
    </row>
    <row r="115" spans="1:24" ht="13.95" customHeight="1" thickBot="1">
      <c r="A115" s="761" t="str">
        <f>'PLANILHA '!A43</f>
        <v>3.1.7</v>
      </c>
      <c r="B115" s="762" t="str">
        <f>'PLANILHA '!D43</f>
        <v>Caixa coletora concreto armado H= 2,00 m, inclusive escavação</v>
      </c>
      <c r="C115" s="763"/>
      <c r="D115" s="763"/>
      <c r="E115" s="763"/>
      <c r="F115" s="763"/>
      <c r="G115" s="763"/>
      <c r="H115" s="763"/>
      <c r="I115" s="763"/>
      <c r="J115" s="763"/>
      <c r="K115" s="763"/>
      <c r="L115" s="763"/>
      <c r="M115" s="763"/>
      <c r="N115" s="763"/>
      <c r="O115" s="763"/>
      <c r="P115" s="763"/>
      <c r="Q115" s="763"/>
      <c r="R115" s="764"/>
      <c r="S115" s="766" t="str">
        <f>'PLANILHA '!E51</f>
        <v>kg</v>
      </c>
      <c r="T115" s="765">
        <f>R116</f>
        <v>4</v>
      </c>
      <c r="U115" s="84">
        <f>T115</f>
        <v>4</v>
      </c>
      <c r="V115" s="21"/>
      <c r="W115" s="21"/>
      <c r="X115" s="74"/>
    </row>
    <row r="116" spans="1:24">
      <c r="A116" s="755"/>
      <c r="B116" s="108" t="s">
        <v>398</v>
      </c>
      <c r="C116" s="104"/>
      <c r="D116" s="104">
        <v>4</v>
      </c>
      <c r="E116" s="104"/>
      <c r="F116" s="116"/>
      <c r="G116" s="116"/>
      <c r="H116" s="116"/>
      <c r="I116" s="104"/>
      <c r="J116" s="104"/>
      <c r="K116" s="104"/>
      <c r="L116" s="104"/>
      <c r="M116" s="104"/>
      <c r="N116" s="104"/>
      <c r="O116" s="104"/>
      <c r="P116" s="104"/>
      <c r="Q116" s="104"/>
      <c r="R116" s="116">
        <f>D116</f>
        <v>4</v>
      </c>
      <c r="S116" s="767"/>
      <c r="T116" s="760"/>
      <c r="U116" s="75"/>
      <c r="V116" s="22" t="s">
        <v>119</v>
      </c>
      <c r="W116" s="22"/>
      <c r="X116" s="76"/>
    </row>
    <row r="117" spans="1:24" ht="13.8" thickBot="1">
      <c r="A117" s="773"/>
      <c r="B117" s="127"/>
      <c r="C117" s="113"/>
      <c r="D117" s="113"/>
      <c r="E117" s="113"/>
      <c r="F117" s="124"/>
      <c r="G117" s="124"/>
      <c r="H117" s="124"/>
      <c r="I117" s="113"/>
      <c r="J117" s="113"/>
      <c r="K117" s="113"/>
      <c r="L117" s="113"/>
      <c r="M117" s="113"/>
      <c r="N117" s="113"/>
      <c r="O117" s="113"/>
      <c r="P117" s="113"/>
      <c r="Q117" s="113"/>
      <c r="R117" s="124"/>
      <c r="S117" s="768"/>
      <c r="T117" s="772"/>
      <c r="U117" s="75"/>
      <c r="V117" s="22"/>
      <c r="W117" s="22"/>
      <c r="X117" s="76"/>
    </row>
    <row r="118" spans="1:24" ht="13.8" thickBot="1">
      <c r="A118" s="761" t="str">
        <f>'PLANILHA '!A44</f>
        <v>3.1.8</v>
      </c>
      <c r="B118" s="762" t="str">
        <f>'PLANILHA '!D44</f>
        <v>Mobilização e desmobilização de caminhão basculante (máximo)</v>
      </c>
      <c r="C118" s="763"/>
      <c r="D118" s="763"/>
      <c r="E118" s="763"/>
      <c r="F118" s="763"/>
      <c r="G118" s="763"/>
      <c r="H118" s="763"/>
      <c r="I118" s="763"/>
      <c r="J118" s="763"/>
      <c r="K118" s="763"/>
      <c r="L118" s="763"/>
      <c r="M118" s="763"/>
      <c r="N118" s="763"/>
      <c r="O118" s="763"/>
      <c r="P118" s="763"/>
      <c r="Q118" s="763"/>
      <c r="R118" s="764"/>
      <c r="S118" s="766" t="str">
        <f>'PLANILHA '!E52</f>
        <v>m³</v>
      </c>
      <c r="T118" s="765">
        <f>SUM(R119:R120)</f>
        <v>0</v>
      </c>
      <c r="U118" s="84">
        <f>T118</f>
        <v>0</v>
      </c>
      <c r="V118" s="22"/>
      <c r="W118" s="22"/>
      <c r="X118" s="76"/>
    </row>
    <row r="119" spans="1:24">
      <c r="A119" s="755"/>
      <c r="B119" s="108" t="s">
        <v>398</v>
      </c>
      <c r="C119" s="104"/>
      <c r="D119" s="104"/>
      <c r="E119" s="104"/>
      <c r="F119" s="116"/>
      <c r="G119" s="116"/>
      <c r="H119" s="116"/>
      <c r="I119" s="104"/>
      <c r="J119" s="104"/>
      <c r="K119" s="104"/>
      <c r="L119" s="104"/>
      <c r="M119" s="104"/>
      <c r="N119" s="104"/>
      <c r="O119" s="192"/>
      <c r="P119" s="104"/>
      <c r="Q119" s="104"/>
      <c r="R119" s="116"/>
      <c r="S119" s="767"/>
      <c r="T119" s="760"/>
      <c r="U119" s="75"/>
      <c r="V119" s="22"/>
      <c r="W119" s="22"/>
      <c r="X119" s="76"/>
    </row>
    <row r="120" spans="1:24">
      <c r="A120" s="755"/>
      <c r="B120" s="184"/>
      <c r="C120" s="112"/>
      <c r="D120" s="112"/>
      <c r="E120" s="112"/>
      <c r="F120" s="117"/>
      <c r="G120" s="117"/>
      <c r="H120" s="117"/>
      <c r="I120" s="112"/>
      <c r="J120" s="112"/>
      <c r="K120" s="112"/>
      <c r="L120" s="112"/>
      <c r="M120" s="112"/>
      <c r="N120" s="112"/>
      <c r="O120" s="193"/>
      <c r="P120" s="112"/>
      <c r="Q120" s="112"/>
      <c r="R120" s="116"/>
      <c r="S120" s="767"/>
      <c r="T120" s="760"/>
      <c r="U120" s="75"/>
      <c r="V120" s="22"/>
      <c r="W120" s="22"/>
      <c r="X120" s="76"/>
    </row>
    <row r="121" spans="1:24" ht="13.8" thickBot="1">
      <c r="A121" s="297" t="str">
        <f>'PLANILHA '!A45</f>
        <v>3.2</v>
      </c>
      <c r="B121" s="274" t="str">
        <f>'PLANILHA '!D45</f>
        <v>RETIRADA DO ASFALTO E SOLO/INSERÇÃO DOS PERFIS E TAMPONAMENTO COM PÓ DE BRITA</v>
      </c>
      <c r="C121" s="275"/>
      <c r="D121" s="275"/>
      <c r="E121" s="275"/>
      <c r="F121" s="275"/>
      <c r="G121" s="181"/>
      <c r="H121" s="181"/>
      <c r="I121" s="181"/>
      <c r="J121" s="181"/>
      <c r="K121" s="181"/>
      <c r="L121" s="181"/>
      <c r="M121" s="181"/>
      <c r="N121" s="181"/>
      <c r="O121" s="181"/>
      <c r="P121" s="181"/>
      <c r="Q121" s="181"/>
      <c r="R121" s="181"/>
      <c r="S121" s="181"/>
      <c r="T121" s="296"/>
      <c r="U121" s="75"/>
      <c r="V121" s="22"/>
      <c r="W121" s="22"/>
      <c r="X121" s="76"/>
    </row>
    <row r="122" spans="1:24" ht="13.95" customHeight="1" thickBot="1">
      <c r="A122" s="761" t="str">
        <f>'PLANILHA '!A46</f>
        <v>3.2.1</v>
      </c>
      <c r="B122" s="762" t="str">
        <f>'PLANILHA '!D46</f>
        <v>Remoção manual de revestimento asfáltico</v>
      </c>
      <c r="C122" s="763"/>
      <c r="D122" s="763"/>
      <c r="E122" s="763"/>
      <c r="F122" s="763"/>
      <c r="G122" s="763"/>
      <c r="H122" s="763"/>
      <c r="I122" s="763"/>
      <c r="J122" s="763"/>
      <c r="K122" s="763"/>
      <c r="L122" s="763"/>
      <c r="M122" s="763"/>
      <c r="N122" s="763"/>
      <c r="O122" s="763"/>
      <c r="P122" s="763"/>
      <c r="Q122" s="763"/>
      <c r="R122" s="764"/>
      <c r="S122" s="766" t="str">
        <f>'PLANILHA '!E46</f>
        <v>m³</v>
      </c>
      <c r="T122" s="765">
        <f>SUM(R123:R125)</f>
        <v>40.3095</v>
      </c>
      <c r="U122" s="84">
        <f>T122</f>
        <v>40.3095</v>
      </c>
      <c r="V122" s="21"/>
      <c r="W122" s="21"/>
      <c r="X122" s="74"/>
    </row>
    <row r="123" spans="1:24">
      <c r="A123" s="755"/>
      <c r="B123" s="108" t="s">
        <v>256</v>
      </c>
      <c r="C123" s="104"/>
      <c r="D123" s="104">
        <v>1</v>
      </c>
      <c r="E123" s="104"/>
      <c r="F123" s="116">
        <v>71</v>
      </c>
      <c r="G123" s="116">
        <v>6.1</v>
      </c>
      <c r="H123" s="104"/>
      <c r="I123" s="104">
        <v>7.0000000000000007E-2</v>
      </c>
      <c r="J123" s="104"/>
      <c r="K123" s="104"/>
      <c r="L123" s="118"/>
      <c r="M123" s="104"/>
      <c r="N123" s="104"/>
      <c r="O123" s="104"/>
      <c r="P123" s="116">
        <f>F123*G123*I123*D123</f>
        <v>30.317</v>
      </c>
      <c r="Q123" s="104">
        <v>1.1000000000000001</v>
      </c>
      <c r="R123" s="116">
        <f>P123*Q123</f>
        <v>33.348700000000001</v>
      </c>
      <c r="S123" s="767"/>
      <c r="T123" s="760"/>
      <c r="U123" s="75"/>
      <c r="V123" s="22" t="s">
        <v>119</v>
      </c>
      <c r="W123" s="22"/>
      <c r="X123" s="76"/>
    </row>
    <row r="124" spans="1:24">
      <c r="A124" s="755"/>
      <c r="B124" s="108" t="s">
        <v>257</v>
      </c>
      <c r="C124" s="112"/>
      <c r="D124" s="104">
        <v>2</v>
      </c>
      <c r="E124" s="104"/>
      <c r="F124" s="116">
        <v>4</v>
      </c>
      <c r="G124" s="117">
        <v>11.3</v>
      </c>
      <c r="H124" s="112"/>
      <c r="I124" s="104">
        <v>7.0000000000000007E-2</v>
      </c>
      <c r="J124" s="112"/>
      <c r="K124" s="112"/>
      <c r="L124" s="122"/>
      <c r="M124" s="112"/>
      <c r="N124" s="112"/>
      <c r="O124" s="104"/>
      <c r="P124" s="116">
        <f>I124*G124*F124*D124</f>
        <v>6.3280000000000012</v>
      </c>
      <c r="Q124" s="104">
        <v>1.1000000000000001</v>
      </c>
      <c r="R124" s="116">
        <f>P124*Q124</f>
        <v>6.9608000000000017</v>
      </c>
      <c r="S124" s="767"/>
      <c r="T124" s="760"/>
      <c r="U124" s="75"/>
      <c r="V124" s="22"/>
      <c r="W124" s="22"/>
      <c r="X124" s="76"/>
    </row>
    <row r="125" spans="1:24" ht="13.8" thickBot="1">
      <c r="A125" s="773"/>
      <c r="B125" s="127"/>
      <c r="C125" s="113"/>
      <c r="D125" s="113"/>
      <c r="E125" s="113"/>
      <c r="F125" s="124"/>
      <c r="G125" s="124"/>
      <c r="H125" s="113"/>
      <c r="I125" s="113"/>
      <c r="J125" s="113"/>
      <c r="K125" s="113"/>
      <c r="L125" s="128"/>
      <c r="M125" s="113"/>
      <c r="N125" s="113"/>
      <c r="O125" s="113"/>
      <c r="P125" s="113"/>
      <c r="Q125" s="113"/>
      <c r="R125" s="113"/>
      <c r="S125" s="768"/>
      <c r="T125" s="772"/>
      <c r="U125" s="75"/>
      <c r="V125" s="22"/>
      <c r="W125" s="22"/>
      <c r="X125" s="76"/>
    </row>
    <row r="126" spans="1:24" ht="13.95" customHeight="1" thickBot="1">
      <c r="A126" s="761" t="str">
        <f>'PLANILHA '!A47</f>
        <v>3.2.2</v>
      </c>
      <c r="B126" s="762" t="str">
        <f>'PLANILHA '!D47</f>
        <v>Escavação, carga e transporte de material de 1º categoria</v>
      </c>
      <c r="C126" s="763"/>
      <c r="D126" s="763"/>
      <c r="E126" s="763"/>
      <c r="F126" s="763"/>
      <c r="G126" s="763"/>
      <c r="H126" s="763"/>
      <c r="I126" s="763"/>
      <c r="J126" s="763"/>
      <c r="K126" s="763"/>
      <c r="L126" s="763"/>
      <c r="M126" s="763"/>
      <c r="N126" s="763"/>
      <c r="O126" s="763"/>
      <c r="P126" s="763"/>
      <c r="Q126" s="763"/>
      <c r="R126" s="764"/>
      <c r="S126" s="766" t="str">
        <f>'PLANILHA '!E47</f>
        <v>m³</v>
      </c>
      <c r="T126" s="765">
        <f>SUM(R127:R128)</f>
        <v>1084.2749999999999</v>
      </c>
      <c r="U126" s="84">
        <f>T126</f>
        <v>1084.2749999999999</v>
      </c>
      <c r="V126" s="21"/>
      <c r="W126" s="21"/>
      <c r="X126" s="74"/>
    </row>
    <row r="127" spans="1:24">
      <c r="A127" s="755"/>
      <c r="B127" s="108" t="s">
        <v>258</v>
      </c>
      <c r="C127" s="104"/>
      <c r="D127" s="104"/>
      <c r="E127" s="104"/>
      <c r="F127" s="116"/>
      <c r="G127" s="116">
        <v>6.1</v>
      </c>
      <c r="H127" s="104"/>
      <c r="I127" s="104"/>
      <c r="J127" s="104"/>
      <c r="K127" s="104"/>
      <c r="L127" s="104"/>
      <c r="M127" s="103"/>
      <c r="N127" s="103"/>
      <c r="O127" s="104">
        <f>71.1*2.5</f>
        <v>177.75</v>
      </c>
      <c r="P127" s="103">
        <f>O127*G127</f>
        <v>1084.2749999999999</v>
      </c>
      <c r="Q127" s="133"/>
      <c r="R127" s="104">
        <f>P127</f>
        <v>1084.2749999999999</v>
      </c>
      <c r="S127" s="767"/>
      <c r="T127" s="760"/>
      <c r="U127" s="75"/>
      <c r="V127" s="22" t="s">
        <v>119</v>
      </c>
      <c r="W127" s="22"/>
      <c r="X127" s="76"/>
    </row>
    <row r="128" spans="1:24" ht="13.8" thickBot="1">
      <c r="A128" s="773"/>
      <c r="B128" s="127"/>
      <c r="C128" s="113"/>
      <c r="D128" s="113"/>
      <c r="E128" s="113"/>
      <c r="F128" s="124"/>
      <c r="G128" s="124"/>
      <c r="H128" s="113"/>
      <c r="I128" s="113"/>
      <c r="J128" s="113"/>
      <c r="K128" s="113"/>
      <c r="L128" s="113"/>
      <c r="M128" s="272"/>
      <c r="N128" s="272"/>
      <c r="O128" s="113"/>
      <c r="P128" s="272"/>
      <c r="Q128" s="273"/>
      <c r="R128" s="113"/>
      <c r="S128" s="768"/>
      <c r="T128" s="772"/>
      <c r="U128" s="75"/>
      <c r="V128" s="22"/>
      <c r="W128" s="22"/>
      <c r="X128" s="76"/>
    </row>
    <row r="129" spans="1:24" ht="13.95" customHeight="1" thickBot="1">
      <c r="A129" s="761" t="str">
        <f>'PLANILHA '!A48</f>
        <v>3.2.3</v>
      </c>
      <c r="B129" s="762" t="str">
        <f>'PLANILHA '!D48</f>
        <v>Viga metálica em perfil laminado ou soldado em aço estrutural, com conexões parafusadas, inclusos mão de obra, transporte e içamento utilizando guindaste - fornecimento e instalação</v>
      </c>
      <c r="C129" s="763"/>
      <c r="D129" s="763"/>
      <c r="E129" s="763"/>
      <c r="F129" s="763"/>
      <c r="G129" s="763"/>
      <c r="H129" s="763"/>
      <c r="I129" s="763"/>
      <c r="J129" s="763"/>
      <c r="K129" s="763"/>
      <c r="L129" s="763"/>
      <c r="M129" s="763"/>
      <c r="N129" s="763"/>
      <c r="O129" s="763"/>
      <c r="P129" s="763"/>
      <c r="Q129" s="763"/>
      <c r="R129" s="764"/>
      <c r="S129" s="766" t="str">
        <f>'PLANILHA '!E48</f>
        <v>kg</v>
      </c>
      <c r="T129" s="765">
        <f>SUM(R130:R132)</f>
        <v>24198.29</v>
      </c>
      <c r="U129" s="84">
        <f>T129</f>
        <v>24198.29</v>
      </c>
      <c r="V129" s="21"/>
      <c r="W129" s="21"/>
      <c r="X129" s="74"/>
    </row>
    <row r="130" spans="1:24" ht="12.6" customHeight="1">
      <c r="A130" s="755"/>
      <c r="B130" s="108" t="s">
        <v>259</v>
      </c>
      <c r="C130" s="104"/>
      <c r="D130" s="104">
        <v>31</v>
      </c>
      <c r="E130" s="104">
        <f>D130*F130*Q130</f>
        <v>23820.400000000001</v>
      </c>
      <c r="F130" s="116">
        <v>11.3</v>
      </c>
      <c r="G130" s="116"/>
      <c r="H130" s="104"/>
      <c r="I130" s="104"/>
      <c r="J130" s="104"/>
      <c r="K130" s="104"/>
      <c r="L130" s="104"/>
      <c r="M130" s="103"/>
      <c r="N130" s="103"/>
      <c r="O130" s="104"/>
      <c r="P130" s="103"/>
      <c r="Q130" s="133">
        <v>68</v>
      </c>
      <c r="R130" s="104">
        <f>E130</f>
        <v>23820.400000000001</v>
      </c>
      <c r="S130" s="767"/>
      <c r="T130" s="760"/>
      <c r="U130" s="75"/>
      <c r="V130" s="22"/>
      <c r="W130" s="22"/>
      <c r="X130" s="76"/>
    </row>
    <row r="131" spans="1:24" ht="12.6" customHeight="1">
      <c r="A131" s="755"/>
      <c r="B131" s="108" t="s">
        <v>261</v>
      </c>
      <c r="C131" s="104"/>
      <c r="D131" s="104">
        <f>4*31</f>
        <v>124</v>
      </c>
      <c r="E131" s="104">
        <f>D131*F131*Q131</f>
        <v>377.89</v>
      </c>
      <c r="F131" s="104">
        <v>0.25</v>
      </c>
      <c r="G131" s="104"/>
      <c r="H131" s="104"/>
      <c r="I131" s="104"/>
      <c r="J131" s="104"/>
      <c r="K131" s="104"/>
      <c r="L131" s="104"/>
      <c r="M131" s="104"/>
      <c r="N131" s="104"/>
      <c r="O131" s="104"/>
      <c r="P131" s="116"/>
      <c r="Q131" s="104">
        <v>12.19</v>
      </c>
      <c r="R131" s="116">
        <f>E131</f>
        <v>377.89</v>
      </c>
      <c r="S131" s="767"/>
      <c r="T131" s="760"/>
      <c r="U131" s="75"/>
      <c r="V131" s="22"/>
      <c r="W131" s="22"/>
      <c r="X131" s="76"/>
    </row>
    <row r="132" spans="1:24" ht="12.6" customHeight="1" thickBot="1">
      <c r="A132" s="773"/>
      <c r="B132" s="127"/>
      <c r="C132" s="113"/>
      <c r="D132" s="113"/>
      <c r="E132" s="113"/>
      <c r="F132" s="124"/>
      <c r="G132" s="124"/>
      <c r="H132" s="113"/>
      <c r="I132" s="113"/>
      <c r="J132" s="113"/>
      <c r="K132" s="113"/>
      <c r="L132" s="113"/>
      <c r="M132" s="272"/>
      <c r="N132" s="272"/>
      <c r="O132" s="113"/>
      <c r="P132" s="272"/>
      <c r="Q132" s="273"/>
      <c r="R132" s="113"/>
      <c r="S132" s="768"/>
      <c r="T132" s="772"/>
      <c r="U132" s="75"/>
      <c r="V132" s="22"/>
      <c r="W132" s="22"/>
      <c r="X132" s="76"/>
    </row>
    <row r="133" spans="1:24" ht="13.8" thickBot="1">
      <c r="A133" s="761" t="str">
        <f>'PLANILHA '!A49</f>
        <v>3.2.4</v>
      </c>
      <c r="B133" s="762" t="str">
        <f>'PLANILHA '!D49</f>
        <v>Solda com maçarico oxiacetileno de chapas de aço de 12,5 mm</v>
      </c>
      <c r="C133" s="763"/>
      <c r="D133" s="763"/>
      <c r="E133" s="763"/>
      <c r="F133" s="763"/>
      <c r="G133" s="763"/>
      <c r="H133" s="763"/>
      <c r="I133" s="763"/>
      <c r="J133" s="763"/>
      <c r="K133" s="763"/>
      <c r="L133" s="763"/>
      <c r="M133" s="763"/>
      <c r="N133" s="763"/>
      <c r="O133" s="763"/>
      <c r="P133" s="763"/>
      <c r="Q133" s="763"/>
      <c r="R133" s="764"/>
      <c r="S133" s="787" t="str">
        <f>'PLANILHA '!E49</f>
        <v>m</v>
      </c>
      <c r="T133" s="765">
        <f>SUM(R134:R136)</f>
        <v>81.84</v>
      </c>
      <c r="U133" s="84">
        <f>T133</f>
        <v>81.84</v>
      </c>
      <c r="V133" s="22"/>
      <c r="W133" s="22"/>
      <c r="X133" s="76"/>
    </row>
    <row r="134" spans="1:24">
      <c r="A134" s="755"/>
      <c r="B134" s="108" t="s">
        <v>262</v>
      </c>
      <c r="C134" s="104"/>
      <c r="D134" s="104">
        <f>4*31</f>
        <v>124</v>
      </c>
      <c r="E134" s="104"/>
      <c r="F134" s="104">
        <v>0.1</v>
      </c>
      <c r="G134" s="104">
        <v>0.25</v>
      </c>
      <c r="H134" s="104"/>
      <c r="I134" s="104"/>
      <c r="J134" s="104"/>
      <c r="K134" s="104"/>
      <c r="L134" s="104">
        <f>(F134*2)+G134</f>
        <v>0.45</v>
      </c>
      <c r="M134" s="104"/>
      <c r="N134" s="104"/>
      <c r="O134" s="104"/>
      <c r="P134" s="116"/>
      <c r="Q134" s="104"/>
      <c r="R134" s="116">
        <f>L134*D134</f>
        <v>55.800000000000004</v>
      </c>
      <c r="S134" s="759"/>
      <c r="T134" s="760"/>
      <c r="U134" s="75"/>
      <c r="V134" s="22"/>
      <c r="W134" s="22"/>
      <c r="X134" s="76"/>
    </row>
    <row r="135" spans="1:24">
      <c r="A135" s="755"/>
      <c r="B135" s="108" t="s">
        <v>393</v>
      </c>
      <c r="C135" s="104"/>
      <c r="D135" s="104">
        <f>28*31</f>
        <v>868</v>
      </c>
      <c r="E135" s="104"/>
      <c r="F135" s="104"/>
      <c r="G135" s="112"/>
      <c r="H135" s="112"/>
      <c r="I135" s="112"/>
      <c r="J135" s="112"/>
      <c r="K135" s="112"/>
      <c r="L135" s="112">
        <v>0.03</v>
      </c>
      <c r="M135" s="112"/>
      <c r="N135" s="112"/>
      <c r="O135" s="112"/>
      <c r="P135" s="116"/>
      <c r="Q135" s="104"/>
      <c r="R135" s="116">
        <f>D135*L135</f>
        <v>26.04</v>
      </c>
      <c r="S135" s="759"/>
      <c r="T135" s="760"/>
      <c r="U135" s="75"/>
      <c r="V135" s="22"/>
      <c r="W135" s="22"/>
      <c r="X135" s="76"/>
    </row>
    <row r="136" spans="1:24" ht="13.8" thickBot="1">
      <c r="A136" s="773"/>
      <c r="B136" s="108"/>
      <c r="C136" s="104"/>
      <c r="D136" s="104"/>
      <c r="E136" s="104"/>
      <c r="F136" s="104"/>
      <c r="G136" s="112"/>
      <c r="H136" s="112"/>
      <c r="I136" s="112"/>
      <c r="J136" s="112"/>
      <c r="K136" s="112"/>
      <c r="L136" s="112"/>
      <c r="M136" s="112"/>
      <c r="N136" s="112"/>
      <c r="O136" s="112"/>
      <c r="P136" s="116"/>
      <c r="Q136" s="104"/>
      <c r="R136" s="116"/>
      <c r="S136" s="759"/>
      <c r="T136" s="760"/>
      <c r="U136" s="75"/>
      <c r="V136" s="22"/>
      <c r="W136" s="22"/>
      <c r="X136" s="76"/>
    </row>
    <row r="137" spans="1:24" ht="13.8" thickBot="1">
      <c r="A137" s="761" t="str">
        <f>'PLANILHA '!A50</f>
        <v>3.2.5</v>
      </c>
      <c r="B137" s="762" t="str">
        <f>'PLANILHA '!D50</f>
        <v>Chumbador de expansão controlada por torque para concreto D = 20 mm - fornecimento e instalação</v>
      </c>
      <c r="C137" s="763"/>
      <c r="D137" s="763"/>
      <c r="E137" s="763"/>
      <c r="F137" s="763"/>
      <c r="G137" s="763"/>
      <c r="H137" s="763"/>
      <c r="I137" s="763"/>
      <c r="J137" s="763"/>
      <c r="K137" s="763"/>
      <c r="L137" s="763"/>
      <c r="M137" s="763"/>
      <c r="N137" s="763"/>
      <c r="O137" s="763"/>
      <c r="P137" s="763"/>
      <c r="Q137" s="763"/>
      <c r="R137" s="764"/>
      <c r="S137" s="787" t="str">
        <f>'PLANILHA '!E50</f>
        <v>und</v>
      </c>
      <c r="T137" s="765">
        <f>SUM(R138:R139)</f>
        <v>248</v>
      </c>
      <c r="U137" s="84">
        <f>T137</f>
        <v>248</v>
      </c>
      <c r="V137" s="22"/>
      <c r="W137" s="22"/>
      <c r="X137" s="76"/>
    </row>
    <row r="138" spans="1:24">
      <c r="A138" s="755"/>
      <c r="B138" s="108" t="s">
        <v>263</v>
      </c>
      <c r="C138" s="104"/>
      <c r="D138" s="104">
        <f>4*2*31</f>
        <v>248</v>
      </c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16"/>
      <c r="Q138" s="104"/>
      <c r="R138" s="116">
        <f>D138</f>
        <v>248</v>
      </c>
      <c r="S138" s="759"/>
      <c r="T138" s="760"/>
      <c r="U138" s="75"/>
      <c r="V138" s="22"/>
      <c r="W138" s="22"/>
      <c r="X138" s="76"/>
    </row>
    <row r="139" spans="1:24" ht="13.8" thickBot="1">
      <c r="A139" s="773"/>
      <c r="B139" s="127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24"/>
      <c r="Q139" s="113"/>
      <c r="R139" s="124"/>
      <c r="S139" s="788"/>
      <c r="T139" s="772"/>
      <c r="U139" s="75"/>
      <c r="V139" s="22"/>
      <c r="W139" s="22"/>
      <c r="X139" s="76"/>
    </row>
    <row r="140" spans="1:24" ht="13.8" thickBot="1">
      <c r="A140" s="761" t="str">
        <f>'PLANILHA '!A51</f>
        <v>3.2.6</v>
      </c>
      <c r="B140" s="762" t="str">
        <f>'PLANILHA '!D51</f>
        <v xml:space="preserve"> Fornecimento e aplicação de adesivo estrutural à base de resina epóxi</v>
      </c>
      <c r="C140" s="763"/>
      <c r="D140" s="763"/>
      <c r="E140" s="763"/>
      <c r="F140" s="763"/>
      <c r="G140" s="763"/>
      <c r="H140" s="763"/>
      <c r="I140" s="763"/>
      <c r="J140" s="763"/>
      <c r="K140" s="763"/>
      <c r="L140" s="763"/>
      <c r="M140" s="763"/>
      <c r="N140" s="763"/>
      <c r="O140" s="763"/>
      <c r="P140" s="763"/>
      <c r="Q140" s="763"/>
      <c r="R140" s="764"/>
      <c r="S140" s="766" t="str">
        <f>'PLANILHA '!E51</f>
        <v>kg</v>
      </c>
      <c r="T140" s="765">
        <f>SUM(R141:R142)</f>
        <v>21.025440000000003</v>
      </c>
      <c r="U140" s="84">
        <f>T140</f>
        <v>21.025440000000003</v>
      </c>
      <c r="V140" s="22"/>
      <c r="W140" s="22"/>
      <c r="X140" s="76"/>
    </row>
    <row r="141" spans="1:24">
      <c r="A141" s="755"/>
      <c r="B141" s="108" t="s">
        <v>260</v>
      </c>
      <c r="C141" s="104"/>
      <c r="D141" s="116">
        <f>T137</f>
        <v>248</v>
      </c>
      <c r="E141" s="104"/>
      <c r="F141" s="116"/>
      <c r="G141" s="116"/>
      <c r="H141" s="116"/>
      <c r="I141" s="104"/>
      <c r="J141" s="104"/>
      <c r="K141" s="104"/>
      <c r="L141" s="104"/>
      <c r="M141" s="104"/>
      <c r="N141" s="104"/>
      <c r="P141" s="104">
        <f>(3.14*0.01^2*0.15)</f>
        <v>4.7100000000000006E-5</v>
      </c>
      <c r="Q141" s="104">
        <f>1.8*1000</f>
        <v>1800</v>
      </c>
      <c r="R141" s="116">
        <f>Q141*P141*D141</f>
        <v>21.025440000000003</v>
      </c>
      <c r="S141" s="767"/>
      <c r="T141" s="760"/>
      <c r="U141" s="75"/>
      <c r="V141" s="22"/>
      <c r="W141" s="22"/>
      <c r="X141" s="76"/>
    </row>
    <row r="142" spans="1:24">
      <c r="A142" s="773"/>
      <c r="B142" s="127"/>
      <c r="C142" s="113"/>
      <c r="D142" s="113"/>
      <c r="E142" s="113"/>
      <c r="F142" s="124"/>
      <c r="G142" s="124"/>
      <c r="H142" s="124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768"/>
      <c r="T142" s="772"/>
      <c r="U142" s="75"/>
      <c r="V142" s="22"/>
      <c r="W142" s="22"/>
      <c r="X142" s="76"/>
    </row>
    <row r="143" spans="1:24" ht="13.95" customHeight="1" thickBot="1">
      <c r="A143" s="761" t="str">
        <f>'PLANILHA '!A52</f>
        <v>3.2.7</v>
      </c>
      <c r="B143" s="762" t="str">
        <f>'PLANILHA '!D52</f>
        <v>Pó de pedra inclusive fornecimento, espalhamento e transporte</v>
      </c>
      <c r="C143" s="763"/>
      <c r="D143" s="763"/>
      <c r="E143" s="763"/>
      <c r="F143" s="763"/>
      <c r="G143" s="763"/>
      <c r="H143" s="763"/>
      <c r="I143" s="763"/>
      <c r="J143" s="763"/>
      <c r="K143" s="763"/>
      <c r="L143" s="763"/>
      <c r="M143" s="763"/>
      <c r="N143" s="763"/>
      <c r="O143" s="763"/>
      <c r="P143" s="763"/>
      <c r="Q143" s="763"/>
      <c r="R143" s="764"/>
      <c r="S143" s="766" t="str">
        <f>'PLANILHA '!E52</f>
        <v>m³</v>
      </c>
      <c r="T143" s="765">
        <f>SUM(R144:R145)</f>
        <v>34.037999999999997</v>
      </c>
      <c r="U143" s="84">
        <f>T143</f>
        <v>34.037999999999997</v>
      </c>
      <c r="V143" s="21"/>
      <c r="W143" s="21"/>
      <c r="X143" s="74"/>
    </row>
    <row r="144" spans="1:24">
      <c r="A144" s="755"/>
      <c r="B144" s="108" t="s">
        <v>264</v>
      </c>
      <c r="C144" s="104"/>
      <c r="D144" s="104">
        <v>31</v>
      </c>
      <c r="E144" s="104"/>
      <c r="F144" s="116">
        <v>0.2</v>
      </c>
      <c r="G144" s="116">
        <v>6.1</v>
      </c>
      <c r="H144" s="116">
        <v>0.75</v>
      </c>
      <c r="I144" s="104"/>
      <c r="J144" s="104"/>
      <c r="K144" s="104"/>
      <c r="L144" s="104"/>
      <c r="M144" s="104"/>
      <c r="N144" s="104"/>
      <c r="O144" s="104"/>
      <c r="P144" s="116">
        <f>H144*G144*F144*D144</f>
        <v>28.364999999999998</v>
      </c>
      <c r="Q144" s="104">
        <v>1.2</v>
      </c>
      <c r="R144" s="116">
        <f>P144*Q144</f>
        <v>34.037999999999997</v>
      </c>
      <c r="S144" s="767"/>
      <c r="T144" s="760"/>
      <c r="U144" s="75"/>
      <c r="V144" s="22" t="s">
        <v>119</v>
      </c>
      <c r="W144" s="22"/>
      <c r="X144" s="76"/>
    </row>
    <row r="145" spans="1:24" ht="13.8" thickBot="1">
      <c r="A145" s="773"/>
      <c r="B145" s="127"/>
      <c r="C145" s="113"/>
      <c r="D145" s="113"/>
      <c r="E145" s="113"/>
      <c r="F145" s="124"/>
      <c r="G145" s="124"/>
      <c r="H145" s="124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768"/>
      <c r="T145" s="772"/>
      <c r="U145" s="75"/>
      <c r="V145" s="22"/>
      <c r="W145" s="22"/>
      <c r="X145" s="76"/>
    </row>
    <row r="146" spans="1:24" ht="13.8" thickBot="1">
      <c r="A146" s="761" t="str">
        <f>'PLANILHA '!A53</f>
        <v>3.2.8</v>
      </c>
      <c r="B146" s="762" t="str">
        <f>'PLANILHA '!D53</f>
        <v>Mobilização e desmobilização de caminhão basculante (máximo)</v>
      </c>
      <c r="C146" s="763"/>
      <c r="D146" s="763"/>
      <c r="E146" s="763"/>
      <c r="F146" s="763"/>
      <c r="G146" s="763"/>
      <c r="H146" s="763"/>
      <c r="I146" s="763"/>
      <c r="J146" s="763"/>
      <c r="K146" s="763"/>
      <c r="L146" s="763"/>
      <c r="M146" s="763"/>
      <c r="N146" s="763"/>
      <c r="O146" s="763"/>
      <c r="P146" s="763"/>
      <c r="Q146" s="763"/>
      <c r="R146" s="764"/>
      <c r="S146" s="766" t="str">
        <f>'PLANILHA '!E53</f>
        <v>h</v>
      </c>
      <c r="T146" s="765">
        <f>SUM(R147:R148)</f>
        <v>120</v>
      </c>
      <c r="U146" s="84">
        <f>T146</f>
        <v>120</v>
      </c>
      <c r="V146" s="22"/>
      <c r="W146" s="22"/>
      <c r="X146" s="76"/>
    </row>
    <row r="147" spans="1:24">
      <c r="A147" s="755"/>
      <c r="B147" s="108"/>
      <c r="C147" s="104"/>
      <c r="D147" s="104"/>
      <c r="E147" s="104"/>
      <c r="F147" s="116"/>
      <c r="G147" s="116"/>
      <c r="H147" s="116"/>
      <c r="I147" s="104"/>
      <c r="J147" s="104"/>
      <c r="K147" s="104"/>
      <c r="L147" s="104"/>
      <c r="M147" s="104"/>
      <c r="N147" s="104">
        <v>120</v>
      </c>
      <c r="O147" s="104"/>
      <c r="P147" s="116"/>
      <c r="Q147" s="104"/>
      <c r="R147" s="116">
        <f>N147</f>
        <v>120</v>
      </c>
      <c r="S147" s="767"/>
      <c r="T147" s="760"/>
      <c r="U147" s="75"/>
      <c r="V147" s="22"/>
      <c r="W147" s="22"/>
      <c r="X147" s="76"/>
    </row>
    <row r="148" spans="1:24" ht="13.8" thickBot="1">
      <c r="A148" s="773"/>
      <c r="B148" s="127"/>
      <c r="C148" s="113"/>
      <c r="D148" s="113"/>
      <c r="E148" s="113"/>
      <c r="F148" s="124"/>
      <c r="G148" s="124"/>
      <c r="H148" s="124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768"/>
      <c r="T148" s="772"/>
      <c r="U148" s="75"/>
      <c r="V148" s="22"/>
      <c r="W148" s="22"/>
      <c r="X148" s="76"/>
    </row>
    <row r="149" spans="1:24" ht="13.8" thickBot="1">
      <c r="A149" s="298" t="str">
        <f>'PLANILHA '!A54</f>
        <v>3.3</v>
      </c>
      <c r="B149" s="512" t="str">
        <f>'PLANILHA '!D54</f>
        <v>EXECUÇÃO DA NOVA SUPERESTRUTURA</v>
      </c>
      <c r="C149" s="513"/>
      <c r="D149" s="513"/>
      <c r="E149" s="513"/>
      <c r="F149" s="513"/>
      <c r="G149" s="513"/>
      <c r="H149" s="513"/>
      <c r="I149" s="513"/>
      <c r="J149" s="513"/>
      <c r="K149" s="513"/>
      <c r="L149" s="513"/>
      <c r="M149" s="513"/>
      <c r="N149" s="513"/>
      <c r="O149" s="513"/>
      <c r="P149" s="513"/>
      <c r="Q149" s="513"/>
      <c r="R149" s="513"/>
      <c r="S149" s="513"/>
      <c r="T149" s="299"/>
      <c r="U149" s="75"/>
      <c r="V149" s="22"/>
      <c r="W149" s="22"/>
      <c r="X149" s="76"/>
    </row>
    <row r="150" spans="1:24" ht="13.95" customHeight="1" thickBot="1">
      <c r="A150" s="761" t="str">
        <f>'PLANILHA '!A55</f>
        <v>3.3.1</v>
      </c>
      <c r="B150" s="762" t="str">
        <f>'PLANILHA '!D55</f>
        <v>Placas pré-moldadas para forma de tabuleiro de ponte</v>
      </c>
      <c r="C150" s="763"/>
      <c r="D150" s="763"/>
      <c r="E150" s="763"/>
      <c r="F150" s="763"/>
      <c r="G150" s="763"/>
      <c r="H150" s="763"/>
      <c r="I150" s="763"/>
      <c r="J150" s="763"/>
      <c r="K150" s="763"/>
      <c r="L150" s="763"/>
      <c r="M150" s="763"/>
      <c r="N150" s="763"/>
      <c r="O150" s="763"/>
      <c r="P150" s="763"/>
      <c r="Q150" s="763"/>
      <c r="R150" s="764"/>
      <c r="S150" s="766" t="str">
        <f>'PLANILHA '!E55</f>
        <v>m²</v>
      </c>
      <c r="T150" s="765">
        <f>SUM(R151:R153)</f>
        <v>802.3</v>
      </c>
      <c r="U150" s="84">
        <f>T150</f>
        <v>802.3</v>
      </c>
      <c r="V150" s="21"/>
      <c r="W150" s="21"/>
      <c r="X150" s="74"/>
    </row>
    <row r="151" spans="1:24">
      <c r="A151" s="755"/>
      <c r="B151" s="108" t="s">
        <v>272</v>
      </c>
      <c r="C151" s="104"/>
      <c r="D151" s="104">
        <v>1</v>
      </c>
      <c r="E151" s="104"/>
      <c r="F151" s="116">
        <v>21</v>
      </c>
      <c r="G151" s="116">
        <v>11.3</v>
      </c>
      <c r="H151" s="104"/>
      <c r="I151" s="104"/>
      <c r="J151" s="104"/>
      <c r="K151" s="104"/>
      <c r="L151" s="104"/>
      <c r="M151" s="104"/>
      <c r="N151" s="104"/>
      <c r="O151" s="104">
        <f>F151*G151</f>
        <v>237.3</v>
      </c>
      <c r="P151" s="104"/>
      <c r="Q151" s="104"/>
      <c r="R151" s="104">
        <f>O151</f>
        <v>237.3</v>
      </c>
      <c r="S151" s="767"/>
      <c r="T151" s="760"/>
      <c r="U151" s="75"/>
      <c r="V151" s="22" t="s">
        <v>119</v>
      </c>
      <c r="W151" s="22"/>
      <c r="X151" s="76"/>
    </row>
    <row r="152" spans="1:24">
      <c r="A152" s="755"/>
      <c r="B152" s="108" t="s">
        <v>273</v>
      </c>
      <c r="C152" s="104"/>
      <c r="D152" s="112">
        <v>2</v>
      </c>
      <c r="E152" s="112"/>
      <c r="F152" s="116">
        <v>25</v>
      </c>
      <c r="G152" s="116">
        <v>11.3</v>
      </c>
      <c r="H152" s="112"/>
      <c r="I152" s="112"/>
      <c r="J152" s="112"/>
      <c r="K152" s="112"/>
      <c r="L152" s="112"/>
      <c r="M152" s="112"/>
      <c r="N152" s="112"/>
      <c r="O152" s="104">
        <f>F152*G152</f>
        <v>282.5</v>
      </c>
      <c r="P152" s="112"/>
      <c r="Q152" s="112"/>
      <c r="R152" s="104">
        <f>O152*D152</f>
        <v>565</v>
      </c>
      <c r="S152" s="767"/>
      <c r="T152" s="760"/>
      <c r="U152" s="75"/>
      <c r="V152" s="22"/>
      <c r="W152" s="22"/>
      <c r="X152" s="76"/>
    </row>
    <row r="153" spans="1:24" ht="13.8" thickBot="1">
      <c r="A153" s="773"/>
      <c r="B153" s="127"/>
      <c r="C153" s="113"/>
      <c r="D153" s="113"/>
      <c r="E153" s="113"/>
      <c r="F153" s="124"/>
      <c r="G153" s="124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768"/>
      <c r="T153" s="772"/>
      <c r="U153" s="75"/>
      <c r="V153" s="22"/>
      <c r="W153" s="22"/>
      <c r="X153" s="76"/>
    </row>
    <row r="154" spans="1:24" ht="13.8" thickBot="1">
      <c r="A154" s="761" t="str">
        <f>'PLANILHA '!A56</f>
        <v>3.3.2</v>
      </c>
      <c r="B154" s="762" t="str">
        <f>'PLANILHA '!D56</f>
        <v>Formas planas de madeirit meso e superestrutura com 1 reaproveitamento esp. = 17 mm,
inclusive fornecimento e transporte das madeiras</v>
      </c>
      <c r="C154" s="783"/>
      <c r="D154" s="783"/>
      <c r="E154" s="783"/>
      <c r="F154" s="783"/>
      <c r="G154" s="783"/>
      <c r="H154" s="783"/>
      <c r="I154" s="783"/>
      <c r="J154" s="783"/>
      <c r="K154" s="783"/>
      <c r="L154" s="783"/>
      <c r="M154" s="783"/>
      <c r="N154" s="783"/>
      <c r="O154" s="783"/>
      <c r="P154" s="783"/>
      <c r="Q154" s="783"/>
      <c r="R154" s="784"/>
      <c r="S154" s="766" t="str">
        <f>'PLANILHA '!E56</f>
        <v>m²</v>
      </c>
      <c r="T154" s="765">
        <f>SUM(R155:R159)</f>
        <v>294.26</v>
      </c>
      <c r="U154" s="84">
        <f>T154</f>
        <v>294.26</v>
      </c>
      <c r="V154" s="22"/>
      <c r="W154" s="22"/>
      <c r="X154" s="76"/>
    </row>
    <row r="155" spans="1:24">
      <c r="A155" s="755"/>
      <c r="B155" s="108" t="s">
        <v>276</v>
      </c>
      <c r="C155" s="104"/>
      <c r="D155" s="104">
        <v>1</v>
      </c>
      <c r="E155" s="104"/>
      <c r="F155" s="116">
        <v>21</v>
      </c>
      <c r="G155" s="116">
        <v>11.3</v>
      </c>
      <c r="H155" s="116"/>
      <c r="I155" s="116">
        <v>0.22</v>
      </c>
      <c r="J155" s="104"/>
      <c r="K155" s="104"/>
      <c r="L155" s="104"/>
      <c r="M155" s="104"/>
      <c r="N155" s="104"/>
      <c r="O155" s="116">
        <f>(G155*I155*2)+(F155*I155*2)*D155</f>
        <v>14.212</v>
      </c>
      <c r="P155" s="116"/>
      <c r="Q155" s="116"/>
      <c r="R155" s="116">
        <f>O155</f>
        <v>14.212</v>
      </c>
      <c r="S155" s="767"/>
      <c r="T155" s="760"/>
      <c r="U155" s="75"/>
      <c r="V155" s="22"/>
      <c r="W155" s="22"/>
      <c r="X155" s="76"/>
    </row>
    <row r="156" spans="1:24">
      <c r="A156" s="755"/>
      <c r="B156" s="108" t="s">
        <v>275</v>
      </c>
      <c r="C156" s="104"/>
      <c r="D156" s="104">
        <v>2</v>
      </c>
      <c r="E156" s="104"/>
      <c r="F156" s="116">
        <v>25</v>
      </c>
      <c r="G156" s="116">
        <v>11.3</v>
      </c>
      <c r="H156" s="116"/>
      <c r="I156" s="116">
        <v>0.22</v>
      </c>
      <c r="J156" s="104"/>
      <c r="K156" s="104"/>
      <c r="L156" s="104"/>
      <c r="M156" s="104"/>
      <c r="N156" s="104"/>
      <c r="O156" s="116">
        <f t="shared" ref="O156" si="1">(G156*I156*2)+(F156*I156*2)*D156</f>
        <v>26.972000000000001</v>
      </c>
      <c r="P156" s="116"/>
      <c r="Q156" s="116"/>
      <c r="R156" s="116">
        <f t="shared" ref="R156:R157" si="2">O156</f>
        <v>26.972000000000001</v>
      </c>
      <c r="S156" s="767"/>
      <c r="T156" s="760"/>
      <c r="U156" s="75"/>
      <c r="V156" s="22"/>
      <c r="W156" s="22"/>
      <c r="X156" s="76"/>
    </row>
    <row r="157" spans="1:24">
      <c r="A157" s="755"/>
      <c r="B157" s="108" t="s">
        <v>266</v>
      </c>
      <c r="C157" s="104"/>
      <c r="D157" s="104">
        <v>2</v>
      </c>
      <c r="E157" s="104"/>
      <c r="F157" s="116">
        <v>4</v>
      </c>
      <c r="G157" s="116">
        <v>11.3</v>
      </c>
      <c r="H157" s="116"/>
      <c r="I157" s="116">
        <v>0.22</v>
      </c>
      <c r="J157" s="104"/>
      <c r="K157" s="104"/>
      <c r="L157" s="104"/>
      <c r="M157" s="104"/>
      <c r="N157" s="104"/>
      <c r="O157" s="116">
        <f>(G157*I157*2)+(F157*I157*2)*D157</f>
        <v>8.4920000000000009</v>
      </c>
      <c r="P157" s="116"/>
      <c r="Q157" s="116"/>
      <c r="R157" s="116">
        <f t="shared" si="2"/>
        <v>8.4920000000000009</v>
      </c>
      <c r="S157" s="767"/>
      <c r="T157" s="760"/>
      <c r="U157" s="75"/>
      <c r="V157" s="22"/>
      <c r="W157" s="22"/>
      <c r="X157" s="76"/>
    </row>
    <row r="158" spans="1:24">
      <c r="A158" s="755"/>
      <c r="B158" s="108" t="s">
        <v>389</v>
      </c>
      <c r="C158" s="104"/>
      <c r="D158" s="104">
        <v>2</v>
      </c>
      <c r="E158" s="104"/>
      <c r="F158" s="118">
        <v>71.099999999999994</v>
      </c>
      <c r="G158" s="104"/>
      <c r="H158" s="104">
        <v>0.86</v>
      </c>
      <c r="I158" s="104"/>
      <c r="J158" s="104"/>
      <c r="K158" s="104"/>
      <c r="L158" s="104"/>
      <c r="M158" s="104"/>
      <c r="N158" s="104"/>
      <c r="O158" s="104">
        <f>F158*H158*2</f>
        <v>122.29199999999999</v>
      </c>
      <c r="P158" s="104"/>
      <c r="Q158" s="104"/>
      <c r="R158" s="104">
        <f>O158*D158</f>
        <v>244.58399999999997</v>
      </c>
      <c r="S158" s="767"/>
      <c r="T158" s="760"/>
      <c r="U158" s="75"/>
      <c r="V158" s="22"/>
      <c r="W158" s="22"/>
      <c r="X158" s="76"/>
    </row>
    <row r="159" spans="1:24" ht="13.8" thickBot="1">
      <c r="A159" s="773"/>
      <c r="B159" s="127"/>
      <c r="C159" s="113"/>
      <c r="D159" s="113"/>
      <c r="E159" s="113"/>
      <c r="F159" s="128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768"/>
      <c r="T159" s="772"/>
      <c r="U159" s="75"/>
      <c r="V159" s="22"/>
      <c r="W159" s="22"/>
      <c r="X159" s="76"/>
    </row>
    <row r="160" spans="1:24" ht="13.8" thickBot="1">
      <c r="A160" s="794" t="str">
        <f>'PLANILHA '!A57</f>
        <v>3.3.3</v>
      </c>
      <c r="B160" s="769" t="str">
        <f>'PLANILHA '!D57</f>
        <v>Aço CA-50, fornecimento, dobragem e colocação nas formas (preço médio das bitolas)</v>
      </c>
      <c r="C160" s="775"/>
      <c r="D160" s="775"/>
      <c r="E160" s="775"/>
      <c r="F160" s="775"/>
      <c r="G160" s="775"/>
      <c r="H160" s="775"/>
      <c r="I160" s="775"/>
      <c r="J160" s="775"/>
      <c r="K160" s="775"/>
      <c r="L160" s="775"/>
      <c r="M160" s="775"/>
      <c r="N160" s="775"/>
      <c r="O160" s="775"/>
      <c r="P160" s="775"/>
      <c r="Q160" s="775"/>
      <c r="R160" s="776"/>
      <c r="S160" s="777" t="str">
        <f>'PLANILHA '!E57</f>
        <v>kg</v>
      </c>
      <c r="T160" s="780">
        <f>SUM(R161:R165)</f>
        <v>23360</v>
      </c>
      <c r="U160" s="84">
        <f>T160</f>
        <v>23360</v>
      </c>
      <c r="V160" s="22"/>
      <c r="W160" s="22"/>
      <c r="X160" s="76"/>
    </row>
    <row r="161" spans="1:24">
      <c r="A161" s="795"/>
      <c r="B161" s="108" t="s">
        <v>265</v>
      </c>
      <c r="C161" s="104" t="s">
        <v>267</v>
      </c>
      <c r="D161" s="104"/>
      <c r="E161" s="104">
        <v>20865</v>
      </c>
      <c r="F161" s="116"/>
      <c r="G161" s="116"/>
      <c r="H161" s="116"/>
      <c r="I161" s="104"/>
      <c r="J161" s="104"/>
      <c r="K161" s="104"/>
      <c r="L161" s="104"/>
      <c r="M161" s="104"/>
      <c r="N161" s="104"/>
      <c r="O161" s="104"/>
      <c r="P161" s="104"/>
      <c r="Q161" s="104">
        <v>1.1000000000000001</v>
      </c>
      <c r="R161" s="116">
        <f>E161/Q161</f>
        <v>18968.181818181816</v>
      </c>
      <c r="S161" s="778"/>
      <c r="T161" s="781"/>
      <c r="U161" s="75"/>
      <c r="V161" s="22"/>
      <c r="W161" s="22"/>
      <c r="X161" s="76"/>
    </row>
    <row r="162" spans="1:24">
      <c r="A162" s="774"/>
      <c r="B162" s="108" t="s">
        <v>266</v>
      </c>
      <c r="C162" s="104" t="s">
        <v>268</v>
      </c>
      <c r="D162" s="104"/>
      <c r="E162" s="104">
        <v>1908</v>
      </c>
      <c r="F162" s="116"/>
      <c r="G162" s="116"/>
      <c r="H162" s="116"/>
      <c r="I162" s="104"/>
      <c r="J162" s="104"/>
      <c r="K162" s="104"/>
      <c r="L162" s="104"/>
      <c r="M162" s="104"/>
      <c r="N162" s="104"/>
      <c r="O162" s="104"/>
      <c r="P162" s="104"/>
      <c r="Q162" s="104">
        <v>1.1000000000000001</v>
      </c>
      <c r="R162" s="116">
        <f t="shared" ref="R162:R163" si="3">E162/Q162</f>
        <v>1734.5454545454545</v>
      </c>
      <c r="S162" s="785"/>
      <c r="T162" s="786"/>
      <c r="U162" s="75"/>
      <c r="V162" s="22"/>
      <c r="W162" s="22"/>
      <c r="X162" s="76"/>
    </row>
    <row r="163" spans="1:24">
      <c r="A163" s="774"/>
      <c r="B163" s="108" t="s">
        <v>391</v>
      </c>
      <c r="C163" s="104" t="s">
        <v>392</v>
      </c>
      <c r="D163" s="104"/>
      <c r="E163" s="104">
        <v>198</v>
      </c>
      <c r="F163" s="116"/>
      <c r="G163" s="116"/>
      <c r="H163" s="116"/>
      <c r="I163" s="104"/>
      <c r="J163" s="104"/>
      <c r="K163" s="104"/>
      <c r="L163" s="104"/>
      <c r="M163" s="104"/>
      <c r="N163" s="104"/>
      <c r="O163" s="104"/>
      <c r="P163" s="104"/>
      <c r="Q163" s="104">
        <v>1.1000000000000001</v>
      </c>
      <c r="R163" s="116">
        <f t="shared" si="3"/>
        <v>179.99999999999997</v>
      </c>
      <c r="S163" s="785"/>
      <c r="T163" s="786"/>
      <c r="U163" s="75"/>
      <c r="V163" s="22"/>
      <c r="W163" s="22"/>
      <c r="X163" s="76"/>
    </row>
    <row r="164" spans="1:24">
      <c r="A164" s="774"/>
      <c r="B164" s="108" t="s">
        <v>269</v>
      </c>
      <c r="C164" s="104" t="s">
        <v>274</v>
      </c>
      <c r="D164" s="104"/>
      <c r="E164" s="104">
        <v>610</v>
      </c>
      <c r="F164" s="116"/>
      <c r="G164" s="116"/>
      <c r="H164" s="116"/>
      <c r="I164" s="104"/>
      <c r="J164" s="104"/>
      <c r="K164" s="104"/>
      <c r="L164" s="104"/>
      <c r="M164" s="104"/>
      <c r="N164" s="104"/>
      <c r="O164" s="104"/>
      <c r="P164" s="104"/>
      <c r="Q164" s="104">
        <v>1.1000000000000001</v>
      </c>
      <c r="R164" s="116">
        <f>E164/Q164</f>
        <v>554.5454545454545</v>
      </c>
      <c r="S164" s="785"/>
      <c r="T164" s="786"/>
      <c r="U164" s="75"/>
      <c r="V164" s="22"/>
      <c r="W164" s="22"/>
      <c r="X164" s="76"/>
    </row>
    <row r="165" spans="1:24" ht="13.8" thickBot="1">
      <c r="A165" s="796"/>
      <c r="B165" s="127" t="s">
        <v>389</v>
      </c>
      <c r="C165" s="113" t="s">
        <v>278</v>
      </c>
      <c r="D165" s="113"/>
      <c r="E165" s="113">
        <f>2115</f>
        <v>2115</v>
      </c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>
        <v>1.1000000000000001</v>
      </c>
      <c r="R165" s="124">
        <f>E165/Q165</f>
        <v>1922.7272727272725</v>
      </c>
      <c r="S165" s="779"/>
      <c r="T165" s="782"/>
      <c r="U165" s="75"/>
      <c r="V165" s="22"/>
      <c r="W165" s="22"/>
      <c r="X165" s="76"/>
    </row>
    <row r="166" spans="1:24" ht="13.8" thickBot="1">
      <c r="A166" s="761" t="str">
        <f>'PLANILHA '!A58</f>
        <v>3.3.4</v>
      </c>
      <c r="B166" s="770" t="str">
        <f>'PLANILHA '!D58</f>
        <v xml:space="preserve"> Concreto estrutural usinado Fck=40 MPa, tudo incluído, inclusive bombeamento.</v>
      </c>
      <c r="C166" s="775"/>
      <c r="D166" s="775"/>
      <c r="E166" s="775"/>
      <c r="F166" s="775"/>
      <c r="G166" s="775"/>
      <c r="H166" s="775"/>
      <c r="I166" s="775"/>
      <c r="J166" s="775"/>
      <c r="K166" s="775"/>
      <c r="L166" s="775"/>
      <c r="M166" s="775"/>
      <c r="N166" s="775"/>
      <c r="O166" s="775"/>
      <c r="P166" s="775"/>
      <c r="Q166" s="775"/>
      <c r="R166" s="776"/>
      <c r="S166" s="777" t="str">
        <f>'PLANILHA '!E58</f>
        <v>m³</v>
      </c>
      <c r="T166" s="780">
        <f>SUM(R167:R170)</f>
        <v>61.426000000000002</v>
      </c>
      <c r="U166" s="84">
        <f>T166</f>
        <v>61.426000000000002</v>
      </c>
      <c r="V166" s="22"/>
      <c r="W166" s="22"/>
      <c r="X166" s="76"/>
    </row>
    <row r="167" spans="1:24">
      <c r="A167" s="755"/>
      <c r="B167" s="108" t="s">
        <v>266</v>
      </c>
      <c r="C167" s="104"/>
      <c r="D167" s="104">
        <v>2</v>
      </c>
      <c r="E167" s="104"/>
      <c r="F167" s="116">
        <v>11.6</v>
      </c>
      <c r="G167" s="116">
        <v>4</v>
      </c>
      <c r="H167" s="116"/>
      <c r="I167" s="104">
        <v>0.22</v>
      </c>
      <c r="J167" s="104"/>
      <c r="K167" s="104"/>
      <c r="L167" s="104"/>
      <c r="M167" s="104"/>
      <c r="N167" s="104"/>
      <c r="O167" s="104"/>
      <c r="P167" s="116">
        <f>I167*G167*F167*D167</f>
        <v>20.416</v>
      </c>
      <c r="Q167" s="104"/>
      <c r="R167" s="116">
        <f>P167</f>
        <v>20.416</v>
      </c>
      <c r="S167" s="778"/>
      <c r="T167" s="781"/>
      <c r="U167" s="75"/>
      <c r="V167" s="22"/>
      <c r="W167" s="22"/>
      <c r="X167" s="76"/>
    </row>
    <row r="168" spans="1:24">
      <c r="A168" s="755"/>
      <c r="B168" s="108" t="s">
        <v>269</v>
      </c>
      <c r="C168" s="104"/>
      <c r="D168" s="104">
        <v>2</v>
      </c>
      <c r="E168" s="104"/>
      <c r="F168" s="116"/>
      <c r="G168" s="116">
        <v>7.8</v>
      </c>
      <c r="H168" s="116"/>
      <c r="I168" s="104"/>
      <c r="J168" s="104"/>
      <c r="K168" s="104"/>
      <c r="L168" s="104"/>
      <c r="M168" s="104"/>
      <c r="N168" s="104"/>
      <c r="O168" s="104">
        <v>0.35</v>
      </c>
      <c r="P168" s="104">
        <f>O168*G168</f>
        <v>2.73</v>
      </c>
      <c r="Q168" s="104"/>
      <c r="R168" s="116">
        <f>P168*D168</f>
        <v>5.46</v>
      </c>
      <c r="S168" s="785"/>
      <c r="T168" s="786"/>
      <c r="U168" s="75"/>
      <c r="V168" s="22"/>
      <c r="W168" s="22"/>
      <c r="X168" s="76"/>
    </row>
    <row r="169" spans="1:24">
      <c r="A169" s="755"/>
      <c r="B169" s="184" t="s">
        <v>389</v>
      </c>
      <c r="C169" s="112"/>
      <c r="D169" s="112">
        <v>2</v>
      </c>
      <c r="E169" s="112"/>
      <c r="F169" s="117">
        <v>71.099999999999994</v>
      </c>
      <c r="G169" s="117"/>
      <c r="H169" s="117"/>
      <c r="I169" s="112"/>
      <c r="J169" s="112"/>
      <c r="K169" s="112"/>
      <c r="L169" s="112"/>
      <c r="M169" s="112"/>
      <c r="N169" s="112"/>
      <c r="O169" s="112">
        <v>0.25</v>
      </c>
      <c r="P169" s="112">
        <f>F169*O169</f>
        <v>17.774999999999999</v>
      </c>
      <c r="Q169" s="112"/>
      <c r="R169" s="117">
        <f>P169*D169</f>
        <v>35.549999999999997</v>
      </c>
      <c r="S169" s="785"/>
      <c r="T169" s="786"/>
      <c r="U169" s="75"/>
      <c r="V169" s="22"/>
      <c r="W169" s="22"/>
      <c r="X169" s="76"/>
    </row>
    <row r="170" spans="1:24" ht="13.8" thickBot="1">
      <c r="A170" s="773"/>
      <c r="B170" s="127"/>
      <c r="C170" s="113"/>
      <c r="D170" s="113"/>
      <c r="E170" s="113"/>
      <c r="F170" s="124"/>
      <c r="G170" s="124"/>
      <c r="H170" s="124"/>
      <c r="I170" s="113"/>
      <c r="J170" s="113"/>
      <c r="K170" s="113"/>
      <c r="L170" s="113"/>
      <c r="M170" s="113"/>
      <c r="N170" s="113"/>
      <c r="O170" s="113"/>
      <c r="P170" s="113"/>
      <c r="Q170" s="113"/>
      <c r="R170" s="124"/>
      <c r="S170" s="779"/>
      <c r="T170" s="782"/>
      <c r="U170" s="75"/>
      <c r="V170" s="22"/>
      <c r="W170" s="22"/>
      <c r="X170" s="76"/>
    </row>
    <row r="171" spans="1:24" ht="13.8" thickBot="1">
      <c r="A171" s="761" t="str">
        <f>'PLANILHA '!A59</f>
        <v>3.3.5</v>
      </c>
      <c r="B171" s="763" t="str">
        <f>'PLANILHA '!D59</f>
        <v>Concreto para bombeamento fck = 40 MPa com adição de critalizante (tabuleiros)</v>
      </c>
      <c r="C171" s="783"/>
      <c r="D171" s="783"/>
      <c r="E171" s="783"/>
      <c r="F171" s="783"/>
      <c r="G171" s="783"/>
      <c r="H171" s="783"/>
      <c r="I171" s="783"/>
      <c r="J171" s="783"/>
      <c r="K171" s="783"/>
      <c r="L171" s="783"/>
      <c r="M171" s="783"/>
      <c r="N171" s="783"/>
      <c r="O171" s="783"/>
      <c r="P171" s="783"/>
      <c r="Q171" s="783"/>
      <c r="R171" s="784"/>
      <c r="S171" s="777" t="str">
        <f>'PLANILHA '!E59</f>
        <v>m³</v>
      </c>
      <c r="T171" s="780">
        <f>SUM(R172:R174)</f>
        <v>176.50600000000003</v>
      </c>
      <c r="U171" s="84">
        <f>T171</f>
        <v>176.50600000000003</v>
      </c>
      <c r="V171" s="22"/>
      <c r="W171" s="22"/>
      <c r="X171" s="76"/>
    </row>
    <row r="172" spans="1:24">
      <c r="A172" s="755"/>
      <c r="B172" s="108" t="s">
        <v>276</v>
      </c>
      <c r="C172" s="104"/>
      <c r="D172" s="104">
        <v>1</v>
      </c>
      <c r="E172" s="125"/>
      <c r="F172" s="116">
        <v>21</v>
      </c>
      <c r="G172" s="116">
        <v>11.3</v>
      </c>
      <c r="H172" s="116"/>
      <c r="I172" s="116">
        <v>0.22</v>
      </c>
      <c r="J172" s="104"/>
      <c r="K172" s="104"/>
      <c r="L172" s="104"/>
      <c r="M172" s="104"/>
      <c r="N172" s="104"/>
      <c r="O172" s="104"/>
      <c r="P172" s="116">
        <f>I172*G172*F172*D172</f>
        <v>52.206000000000003</v>
      </c>
      <c r="Q172" s="104"/>
      <c r="R172" s="116">
        <f>P172</f>
        <v>52.206000000000003</v>
      </c>
      <c r="S172" s="778"/>
      <c r="T172" s="781"/>
      <c r="U172" s="75"/>
      <c r="V172" s="22"/>
      <c r="W172" s="22"/>
      <c r="X172" s="76"/>
    </row>
    <row r="173" spans="1:24">
      <c r="A173" s="755"/>
      <c r="B173" s="108" t="s">
        <v>275</v>
      </c>
      <c r="C173" s="104"/>
      <c r="D173" s="104">
        <v>2</v>
      </c>
      <c r="E173" s="125"/>
      <c r="F173" s="116">
        <v>25</v>
      </c>
      <c r="G173" s="116">
        <v>11.3</v>
      </c>
      <c r="H173" s="116"/>
      <c r="I173" s="116">
        <v>0.22</v>
      </c>
      <c r="J173" s="112"/>
      <c r="K173" s="112"/>
      <c r="L173" s="112"/>
      <c r="M173" s="112"/>
      <c r="N173" s="112"/>
      <c r="O173" s="104"/>
      <c r="P173" s="116">
        <f>I173*G173*F173*D173</f>
        <v>124.30000000000001</v>
      </c>
      <c r="Q173" s="112"/>
      <c r="R173" s="116">
        <f>P173</f>
        <v>124.30000000000001</v>
      </c>
      <c r="S173" s="785"/>
      <c r="T173" s="786"/>
      <c r="U173" s="75"/>
      <c r="V173" s="22"/>
      <c r="W173" s="22"/>
      <c r="X173" s="76"/>
    </row>
    <row r="174" spans="1:24" ht="13.8" thickBot="1">
      <c r="A174" s="773"/>
      <c r="B174" s="127"/>
      <c r="C174" s="113"/>
      <c r="D174" s="113"/>
      <c r="E174" s="271"/>
      <c r="F174" s="124"/>
      <c r="G174" s="124"/>
      <c r="H174" s="124"/>
      <c r="I174" s="124"/>
      <c r="J174" s="113"/>
      <c r="K174" s="113"/>
      <c r="L174" s="113"/>
      <c r="M174" s="113"/>
      <c r="N174" s="113"/>
      <c r="O174" s="113"/>
      <c r="P174" s="124"/>
      <c r="Q174" s="113"/>
      <c r="R174" s="124"/>
      <c r="S174" s="779"/>
      <c r="T174" s="782"/>
      <c r="U174" s="75"/>
      <c r="V174" s="22"/>
      <c r="W174" s="22"/>
      <c r="X174" s="76"/>
    </row>
    <row r="175" spans="1:24" ht="13.8" thickBot="1">
      <c r="A175" s="761" t="str">
        <f>'PLANILHA '!A60</f>
        <v>3.3.6</v>
      </c>
      <c r="B175" s="762" t="str">
        <f>'PLANILHA '!D60</f>
        <v>Acabamento em concreto fresco (15,0 MPa), para pavimento, inclusive endurecedor químico
de superfície</v>
      </c>
      <c r="C175" s="763"/>
      <c r="D175" s="763"/>
      <c r="E175" s="763"/>
      <c r="F175" s="763"/>
      <c r="G175" s="763"/>
      <c r="H175" s="763"/>
      <c r="I175" s="763"/>
      <c r="J175" s="763"/>
      <c r="K175" s="763"/>
      <c r="L175" s="763"/>
      <c r="M175" s="763"/>
      <c r="N175" s="763"/>
      <c r="O175" s="763"/>
      <c r="P175" s="763"/>
      <c r="Q175" s="763"/>
      <c r="R175" s="764"/>
      <c r="S175" s="766" t="str">
        <f>'PLANILHA '!E60</f>
        <v>m²</v>
      </c>
      <c r="T175" s="765">
        <f>SUM(R176:R178)</f>
        <v>802.3</v>
      </c>
      <c r="U175" s="84">
        <f>T175</f>
        <v>802.3</v>
      </c>
      <c r="V175" s="22"/>
      <c r="W175" s="22"/>
      <c r="X175" s="76"/>
    </row>
    <row r="176" spans="1:24">
      <c r="A176" s="755"/>
      <c r="B176" s="108" t="s">
        <v>276</v>
      </c>
      <c r="C176" s="104"/>
      <c r="D176" s="104">
        <v>1</v>
      </c>
      <c r="E176" s="125"/>
      <c r="F176" s="116">
        <v>21</v>
      </c>
      <c r="G176" s="116">
        <v>11.3</v>
      </c>
      <c r="H176" s="104"/>
      <c r="I176" s="104"/>
      <c r="J176" s="104"/>
      <c r="K176" s="104"/>
      <c r="L176" s="118"/>
      <c r="M176" s="104"/>
      <c r="N176" s="104"/>
      <c r="O176" s="116">
        <f>G176*F176*D176</f>
        <v>237.3</v>
      </c>
      <c r="P176" s="104"/>
      <c r="Q176" s="104"/>
      <c r="R176" s="116">
        <f>O176</f>
        <v>237.3</v>
      </c>
      <c r="S176" s="767"/>
      <c r="T176" s="760"/>
      <c r="U176" s="75"/>
      <c r="V176" s="22"/>
      <c r="W176" s="22"/>
      <c r="X176" s="76"/>
    </row>
    <row r="177" spans="1:24">
      <c r="A177" s="755"/>
      <c r="B177" s="108" t="s">
        <v>275</v>
      </c>
      <c r="C177" s="104"/>
      <c r="D177" s="104">
        <v>2</v>
      </c>
      <c r="E177" s="125"/>
      <c r="F177" s="116">
        <v>25</v>
      </c>
      <c r="G177" s="116">
        <v>11.3</v>
      </c>
      <c r="H177" s="104"/>
      <c r="I177" s="112"/>
      <c r="J177" s="112"/>
      <c r="K177" s="112"/>
      <c r="L177" s="118"/>
      <c r="M177" s="112"/>
      <c r="N177" s="112"/>
      <c r="O177" s="116">
        <f>G177*F177*D177</f>
        <v>565</v>
      </c>
      <c r="P177" s="104"/>
      <c r="Q177" s="104"/>
      <c r="R177" s="116">
        <f>O177</f>
        <v>565</v>
      </c>
      <c r="S177" s="767"/>
      <c r="T177" s="760"/>
      <c r="U177" s="75"/>
      <c r="V177" s="22"/>
      <c r="W177" s="22"/>
      <c r="X177" s="76"/>
    </row>
    <row r="178" spans="1:24" ht="13.8" thickBot="1">
      <c r="A178" s="773"/>
      <c r="B178" s="127"/>
      <c r="C178" s="113"/>
      <c r="D178" s="113"/>
      <c r="E178" s="113"/>
      <c r="F178" s="124"/>
      <c r="G178" s="124"/>
      <c r="H178" s="113"/>
      <c r="I178" s="113"/>
      <c r="J178" s="113"/>
      <c r="K178" s="113"/>
      <c r="L178" s="128"/>
      <c r="M178" s="113"/>
      <c r="N178" s="113"/>
      <c r="O178" s="113"/>
      <c r="P178" s="113"/>
      <c r="Q178" s="113"/>
      <c r="R178" s="113"/>
      <c r="S178" s="768"/>
      <c r="T178" s="772"/>
      <c r="U178" s="75"/>
      <c r="V178" s="22"/>
      <c r="W178" s="22"/>
      <c r="X178" s="76"/>
    </row>
    <row r="179" spans="1:24" ht="13.8" thickBot="1">
      <c r="A179" s="761" t="str">
        <f>'PLANILHA '!A61</f>
        <v>3.3.7</v>
      </c>
      <c r="B179" s="762" t="str">
        <f>'PLANILHA '!D61</f>
        <v>Aço CA-25, fornecimento, dobragem e colocação nas formas</v>
      </c>
      <c r="C179" s="783"/>
      <c r="D179" s="783"/>
      <c r="E179" s="783"/>
      <c r="F179" s="783"/>
      <c r="G179" s="783"/>
      <c r="H179" s="783"/>
      <c r="I179" s="783"/>
      <c r="J179" s="783"/>
      <c r="K179" s="783"/>
      <c r="L179" s="783"/>
      <c r="M179" s="783"/>
      <c r="N179" s="783"/>
      <c r="O179" s="783"/>
      <c r="P179" s="783"/>
      <c r="Q179" s="783"/>
      <c r="R179" s="784"/>
      <c r="S179" s="777" t="str">
        <f>'PLANILHA '!E61</f>
        <v>kg</v>
      </c>
      <c r="T179" s="780">
        <f>SUM(R180:R181)</f>
        <v>79.090909090909079</v>
      </c>
      <c r="U179" s="84">
        <f>T179</f>
        <v>79.090909090909079</v>
      </c>
      <c r="V179" s="22"/>
      <c r="W179" s="22"/>
      <c r="X179" s="76"/>
    </row>
    <row r="180" spans="1:24">
      <c r="A180" s="755"/>
      <c r="B180" s="108" t="s">
        <v>270</v>
      </c>
      <c r="C180" s="104" t="s">
        <v>278</v>
      </c>
      <c r="D180" s="104">
        <v>46</v>
      </c>
      <c r="E180" s="104">
        <v>87</v>
      </c>
      <c r="F180" s="116"/>
      <c r="G180" s="116"/>
      <c r="H180" s="104"/>
      <c r="I180" s="104"/>
      <c r="J180" s="104"/>
      <c r="K180" s="104"/>
      <c r="L180" s="104"/>
      <c r="M180" s="104"/>
      <c r="N180" s="104"/>
      <c r="O180" s="104"/>
      <c r="P180" s="118"/>
      <c r="Q180" s="104">
        <v>1.1000000000000001</v>
      </c>
      <c r="R180" s="118">
        <f>E180/Q180</f>
        <v>79.090909090909079</v>
      </c>
      <c r="S180" s="778"/>
      <c r="T180" s="781"/>
      <c r="U180" s="75"/>
      <c r="V180" s="22"/>
      <c r="W180" s="22"/>
      <c r="X180" s="76"/>
    </row>
    <row r="181" spans="1:24" ht="13.8" thickBot="1">
      <c r="A181" s="773"/>
      <c r="B181" s="127"/>
      <c r="C181" s="113"/>
      <c r="D181" s="113"/>
      <c r="E181" s="113"/>
      <c r="F181" s="124"/>
      <c r="G181" s="124"/>
      <c r="H181" s="113"/>
      <c r="I181" s="113"/>
      <c r="J181" s="113"/>
      <c r="K181" s="113"/>
      <c r="L181" s="113"/>
      <c r="M181" s="113"/>
      <c r="N181" s="113"/>
      <c r="O181" s="113"/>
      <c r="P181" s="128"/>
      <c r="Q181" s="113"/>
      <c r="R181" s="128"/>
      <c r="S181" s="779"/>
      <c r="T181" s="782"/>
      <c r="U181" s="75"/>
      <c r="V181" s="22"/>
      <c r="W181" s="22"/>
      <c r="X181" s="76"/>
    </row>
    <row r="182" spans="1:24" ht="13.8" thickBot="1">
      <c r="A182" s="761" t="str">
        <f>'PLANILHA '!A62</f>
        <v>3.3.8</v>
      </c>
      <c r="B182" s="791" t="str">
        <f>'PLANILHA '!D62</f>
        <v>Aplicação de graxa para as barras de transferência</v>
      </c>
      <c r="C182" s="792"/>
      <c r="D182" s="792"/>
      <c r="E182" s="792"/>
      <c r="F182" s="792"/>
      <c r="G182" s="792"/>
      <c r="H182" s="792"/>
      <c r="I182" s="792"/>
      <c r="J182" s="792"/>
      <c r="K182" s="792"/>
      <c r="L182" s="792"/>
      <c r="M182" s="792"/>
      <c r="N182" s="792"/>
      <c r="O182" s="792"/>
      <c r="P182" s="792"/>
      <c r="Q182" s="792"/>
      <c r="R182" s="793"/>
      <c r="S182" s="789" t="str">
        <f>'PLANILHA '!E62</f>
        <v>und</v>
      </c>
      <c r="T182" s="790">
        <f>SUM(R183:R184)</f>
        <v>46</v>
      </c>
      <c r="U182" s="84">
        <f>T182</f>
        <v>46</v>
      </c>
      <c r="V182" s="22"/>
      <c r="W182" s="22"/>
      <c r="X182" s="76"/>
    </row>
    <row r="183" spans="1:24">
      <c r="A183" s="755"/>
      <c r="B183" s="108" t="s">
        <v>270</v>
      </c>
      <c r="C183" s="104"/>
      <c r="D183" s="104"/>
      <c r="E183" s="104"/>
      <c r="F183" s="116"/>
      <c r="G183" s="116"/>
      <c r="H183" s="116"/>
      <c r="I183" s="116"/>
      <c r="J183" s="116"/>
      <c r="K183" s="116"/>
      <c r="L183" s="104"/>
      <c r="M183" s="104"/>
      <c r="N183" s="104"/>
      <c r="O183" s="104"/>
      <c r="P183" s="118"/>
      <c r="Q183" s="104"/>
      <c r="R183" s="116">
        <f>D180</f>
        <v>46</v>
      </c>
      <c r="S183" s="778"/>
      <c r="T183" s="781"/>
      <c r="U183" s="75"/>
      <c r="V183" s="22"/>
      <c r="W183" s="22"/>
      <c r="X183" s="76"/>
    </row>
    <row r="184" spans="1:24" ht="13.8" thickBot="1">
      <c r="A184" s="773"/>
      <c r="B184" s="108"/>
      <c r="C184" s="104"/>
      <c r="D184" s="104"/>
      <c r="E184" s="104"/>
      <c r="F184" s="116"/>
      <c r="G184" s="116"/>
      <c r="H184" s="116"/>
      <c r="I184" s="116"/>
      <c r="J184" s="116"/>
      <c r="K184" s="116"/>
      <c r="L184" s="112"/>
      <c r="M184" s="112"/>
      <c r="N184" s="112"/>
      <c r="O184" s="104"/>
      <c r="P184" s="118"/>
      <c r="Q184" s="104"/>
      <c r="R184" s="116"/>
      <c r="S184" s="785"/>
      <c r="T184" s="786"/>
      <c r="U184" s="75"/>
      <c r="V184" s="22"/>
      <c r="W184" s="22"/>
      <c r="X184" s="76"/>
    </row>
    <row r="185" spans="1:24" ht="13.8" thickBot="1">
      <c r="A185" s="761" t="str">
        <f>'PLANILHA '!A63</f>
        <v>3.3.9</v>
      </c>
      <c r="B185" s="762" t="str">
        <f>'PLANILHA '!D63</f>
        <v>Junta de dilatação em elastômero e perfil VV - L = 35 mm e H = 60 mm - fornecimento e instalação</v>
      </c>
      <c r="C185" s="763"/>
      <c r="D185" s="763"/>
      <c r="E185" s="763"/>
      <c r="F185" s="763"/>
      <c r="G185" s="763"/>
      <c r="H185" s="763"/>
      <c r="I185" s="763"/>
      <c r="J185" s="763"/>
      <c r="K185" s="763"/>
      <c r="L185" s="763"/>
      <c r="M185" s="763"/>
      <c r="N185" s="763"/>
      <c r="O185" s="763"/>
      <c r="P185" s="763"/>
      <c r="Q185" s="763"/>
      <c r="R185" s="764"/>
      <c r="S185" s="766" t="str">
        <f>'PLANILHA '!E63</f>
        <v>m</v>
      </c>
      <c r="T185" s="765">
        <f>SUM(R186:R187)</f>
        <v>45.2</v>
      </c>
      <c r="U185" s="84">
        <f>T185</f>
        <v>45.2</v>
      </c>
      <c r="V185" s="22"/>
      <c r="W185" s="22"/>
      <c r="X185" s="76"/>
    </row>
    <row r="186" spans="1:24">
      <c r="A186" s="755"/>
      <c r="B186" s="108" t="s">
        <v>271</v>
      </c>
      <c r="C186" s="104"/>
      <c r="D186" s="104">
        <v>4</v>
      </c>
      <c r="E186" s="104"/>
      <c r="F186" s="116"/>
      <c r="G186" s="116">
        <v>11.3</v>
      </c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>
        <f>G186*D186</f>
        <v>45.2</v>
      </c>
      <c r="S186" s="767"/>
      <c r="T186" s="760"/>
      <c r="U186" s="75"/>
      <c r="V186" s="22"/>
      <c r="W186" s="22"/>
      <c r="X186" s="76"/>
    </row>
    <row r="187" spans="1:24" ht="13.8" thickBot="1">
      <c r="A187" s="773"/>
      <c r="B187" s="127"/>
      <c r="C187" s="113"/>
      <c r="D187" s="113"/>
      <c r="E187" s="113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768"/>
      <c r="T187" s="772"/>
      <c r="U187" s="75"/>
      <c r="V187" s="22"/>
      <c r="W187" s="22"/>
      <c r="X187" s="76"/>
    </row>
    <row r="188" spans="1:24" ht="13.8" thickBot="1">
      <c r="A188" s="761" t="str">
        <f>'PLANILHA '!A64</f>
        <v>3.3.10</v>
      </c>
      <c r="B188" s="762" t="str">
        <f>'PLANILHA '!D64</f>
        <v>Lábios poliméricos em junta de pavimento de concreto - L = 20 mm e H = 30 mm - confecção e assentamento</v>
      </c>
      <c r="C188" s="763"/>
      <c r="D188" s="763"/>
      <c r="E188" s="763"/>
      <c r="F188" s="763"/>
      <c r="G188" s="763"/>
      <c r="H188" s="763"/>
      <c r="I188" s="763"/>
      <c r="J188" s="763"/>
      <c r="K188" s="763"/>
      <c r="L188" s="763"/>
      <c r="M188" s="763"/>
      <c r="N188" s="763"/>
      <c r="O188" s="763"/>
      <c r="P188" s="763"/>
      <c r="Q188" s="763"/>
      <c r="R188" s="764"/>
      <c r="S188" s="787" t="str">
        <f>'PLANILHA '!E64</f>
        <v>m</v>
      </c>
      <c r="T188" s="765">
        <f>SUM(R189:R190)</f>
        <v>90.4</v>
      </c>
      <c r="U188" s="84">
        <f>T188</f>
        <v>90.4</v>
      </c>
      <c r="V188" s="22"/>
      <c r="W188" s="22"/>
      <c r="X188" s="76"/>
    </row>
    <row r="189" spans="1:24">
      <c r="A189" s="755"/>
      <c r="B189" s="108" t="s">
        <v>277</v>
      </c>
      <c r="C189" s="104"/>
      <c r="D189" s="104">
        <f>4*2</f>
        <v>8</v>
      </c>
      <c r="E189" s="104"/>
      <c r="F189" s="116"/>
      <c r="G189" s="116">
        <v>11.3</v>
      </c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>
        <f>D189*G189</f>
        <v>90.4</v>
      </c>
      <c r="S189" s="759"/>
      <c r="T189" s="760"/>
      <c r="U189" s="75"/>
      <c r="V189" s="22"/>
      <c r="W189" s="22"/>
      <c r="X189" s="76"/>
    </row>
    <row r="190" spans="1:24" ht="13.8" thickBot="1">
      <c r="A190" s="773"/>
      <c r="B190" s="127"/>
      <c r="C190" s="113"/>
      <c r="D190" s="113"/>
      <c r="E190" s="113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788"/>
      <c r="T190" s="772"/>
      <c r="U190" s="75"/>
      <c r="V190" s="22"/>
      <c r="W190" s="22"/>
      <c r="X190" s="76"/>
    </row>
    <row r="191" spans="1:24" ht="13.95" customHeight="1" thickBot="1">
      <c r="A191" s="761" t="str">
        <f>'PLANILHA '!A65</f>
        <v>3.3.11</v>
      </c>
      <c r="B191" s="762" t="str">
        <f>'PLANILHA '!D65</f>
        <v>Dreno de PVC D = 100 mm</v>
      </c>
      <c r="C191" s="763"/>
      <c r="D191" s="763"/>
      <c r="E191" s="763"/>
      <c r="F191" s="763"/>
      <c r="G191" s="763"/>
      <c r="H191" s="763"/>
      <c r="I191" s="763"/>
      <c r="J191" s="763"/>
      <c r="K191" s="763"/>
      <c r="L191" s="763"/>
      <c r="M191" s="763"/>
      <c r="N191" s="763"/>
      <c r="O191" s="763"/>
      <c r="P191" s="763"/>
      <c r="Q191" s="763"/>
      <c r="R191" s="764"/>
      <c r="S191" s="766" t="str">
        <f>'PLANILHA '!E65</f>
        <v>und</v>
      </c>
      <c r="T191" s="765">
        <f>SUM(R192:R193)</f>
        <v>36</v>
      </c>
      <c r="U191" s="84">
        <f>T191</f>
        <v>36</v>
      </c>
      <c r="V191" s="21"/>
      <c r="W191" s="21"/>
      <c r="X191" s="74"/>
    </row>
    <row r="192" spans="1:24">
      <c r="A192" s="755"/>
      <c r="B192" s="108" t="s">
        <v>279</v>
      </c>
      <c r="C192" s="104"/>
      <c r="D192" s="104"/>
      <c r="E192" s="104"/>
      <c r="F192" s="116">
        <f>71*2</f>
        <v>142</v>
      </c>
      <c r="G192" s="116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>
        <v>4</v>
      </c>
      <c r="R192" s="104">
        <f>F192/Q192+0.5</f>
        <v>36</v>
      </c>
      <c r="S192" s="767"/>
      <c r="T192" s="760"/>
      <c r="U192" s="75"/>
      <c r="V192" s="22" t="s">
        <v>119</v>
      </c>
      <c r="W192" s="22"/>
      <c r="X192" s="76"/>
    </row>
    <row r="193" spans="1:24" ht="13.8" thickBot="1">
      <c r="A193" s="773"/>
      <c r="B193" s="127"/>
      <c r="C193" s="113"/>
      <c r="D193" s="113"/>
      <c r="E193" s="113"/>
      <c r="F193" s="124"/>
      <c r="G193" s="124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768"/>
      <c r="T193" s="772"/>
      <c r="U193" s="75"/>
      <c r="V193" s="22"/>
      <c r="W193" s="22"/>
      <c r="X193" s="76"/>
    </row>
    <row r="194" spans="1:24" ht="13.8" thickBot="1">
      <c r="A194" s="761" t="str">
        <f>'PLANILHA '!A66</f>
        <v>3.3.12</v>
      </c>
      <c r="B194" s="762" t="str">
        <f>'PLANILHA '!D66</f>
        <v>Guarda-corpo com vidro laminado</v>
      </c>
      <c r="C194" s="783"/>
      <c r="D194" s="783"/>
      <c r="E194" s="783"/>
      <c r="F194" s="783"/>
      <c r="G194" s="783"/>
      <c r="H194" s="783"/>
      <c r="I194" s="783"/>
      <c r="J194" s="783"/>
      <c r="K194" s="783"/>
      <c r="L194" s="783"/>
      <c r="M194" s="783"/>
      <c r="N194" s="783"/>
      <c r="O194" s="783"/>
      <c r="P194" s="783"/>
      <c r="Q194" s="783"/>
      <c r="R194" s="784"/>
      <c r="S194" s="766" t="str">
        <f>'PLANILHA '!E66</f>
        <v>m</v>
      </c>
      <c r="T194" s="765">
        <f>SUM(R195:R196)</f>
        <v>142</v>
      </c>
      <c r="U194" s="84">
        <f>T194</f>
        <v>142</v>
      </c>
      <c r="V194" s="22"/>
      <c r="W194" s="22"/>
      <c r="X194" s="76"/>
    </row>
    <row r="195" spans="1:24">
      <c r="A195" s="755"/>
      <c r="B195" s="108" t="s">
        <v>280</v>
      </c>
      <c r="C195" s="104"/>
      <c r="D195" s="104"/>
      <c r="E195" s="104"/>
      <c r="F195" s="116">
        <f>71*2</f>
        <v>142</v>
      </c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16">
        <f>F195</f>
        <v>142</v>
      </c>
      <c r="S195" s="767"/>
      <c r="T195" s="760"/>
      <c r="U195" s="75"/>
      <c r="V195" s="22"/>
      <c r="W195" s="22"/>
      <c r="X195" s="76"/>
    </row>
    <row r="196" spans="1:24" ht="13.8" thickBot="1">
      <c r="A196" s="773"/>
      <c r="B196" s="127"/>
      <c r="C196" s="113"/>
      <c r="D196" s="113"/>
      <c r="E196" s="113"/>
      <c r="F196" s="128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768"/>
      <c r="T196" s="772"/>
      <c r="U196" s="75"/>
      <c r="V196" s="22"/>
      <c r="W196" s="22"/>
      <c r="X196" s="76"/>
    </row>
    <row r="197" spans="1:24" ht="13.8" thickBot="1">
      <c r="A197" s="761" t="str">
        <f>'PLANILHA '!A67</f>
        <v>3.3.13</v>
      </c>
      <c r="B197" s="769" t="str">
        <f>'PLANILHA '!D67</f>
        <v>Execução do arcos centrais da ponte</v>
      </c>
      <c r="C197" s="775"/>
      <c r="D197" s="775"/>
      <c r="E197" s="775"/>
      <c r="F197" s="775"/>
      <c r="G197" s="775"/>
      <c r="H197" s="775"/>
      <c r="I197" s="775"/>
      <c r="J197" s="775"/>
      <c r="K197" s="775"/>
      <c r="L197" s="775"/>
      <c r="M197" s="775"/>
      <c r="N197" s="775"/>
      <c r="O197" s="775"/>
      <c r="P197" s="775"/>
      <c r="Q197" s="775"/>
      <c r="R197" s="776"/>
      <c r="S197" s="777" t="str">
        <f>'PLANILHA '!E67</f>
        <v>und</v>
      </c>
      <c r="T197" s="780">
        <f>SUM(R198:R199)</f>
        <v>2</v>
      </c>
      <c r="U197" s="84">
        <f>T197</f>
        <v>2</v>
      </c>
      <c r="V197" s="22"/>
      <c r="W197" s="22"/>
      <c r="X197" s="76"/>
    </row>
    <row r="198" spans="1:24">
      <c r="A198" s="755"/>
      <c r="B198" s="108" t="s">
        <v>387</v>
      </c>
      <c r="C198" s="104"/>
      <c r="D198" s="104">
        <v>2</v>
      </c>
      <c r="E198" s="104"/>
      <c r="F198" s="116"/>
      <c r="G198" s="116"/>
      <c r="H198" s="116"/>
      <c r="I198" s="104"/>
      <c r="J198" s="104"/>
      <c r="K198" s="104"/>
      <c r="L198" s="104"/>
      <c r="M198" s="104"/>
      <c r="N198" s="104"/>
      <c r="O198" s="104"/>
      <c r="P198" s="104"/>
      <c r="Q198" s="104"/>
      <c r="R198" s="116">
        <f>D198</f>
        <v>2</v>
      </c>
      <c r="S198" s="778"/>
      <c r="T198" s="781"/>
      <c r="U198" s="75"/>
      <c r="V198" s="22"/>
      <c r="W198" s="22"/>
      <c r="X198" s="76"/>
    </row>
    <row r="199" spans="1:24" ht="13.8" thickBot="1">
      <c r="A199" s="773"/>
      <c r="B199" s="127"/>
      <c r="C199" s="113"/>
      <c r="D199" s="113"/>
      <c r="E199" s="113"/>
      <c r="F199" s="124"/>
      <c r="G199" s="124"/>
      <c r="H199" s="124"/>
      <c r="I199" s="113"/>
      <c r="J199" s="113"/>
      <c r="K199" s="113"/>
      <c r="L199" s="113"/>
      <c r="M199" s="113"/>
      <c r="N199" s="113"/>
      <c r="O199" s="113"/>
      <c r="P199" s="113"/>
      <c r="Q199" s="113"/>
      <c r="R199" s="124"/>
      <c r="S199" s="779"/>
      <c r="T199" s="782"/>
      <c r="U199" s="75"/>
      <c r="V199" s="22"/>
      <c r="W199" s="22"/>
      <c r="X199" s="76"/>
    </row>
    <row r="200" spans="1:24" ht="13.8" thickBot="1">
      <c r="A200" s="297" t="str">
        <f>'PLANILHA '!A68</f>
        <v>4</v>
      </c>
      <c r="B200" s="186" t="str">
        <f>'PLANILHA '!D68</f>
        <v>MESOESTRUTURA PONTE OAE</v>
      </c>
      <c r="C200" s="185"/>
      <c r="D200" s="185"/>
      <c r="E200" s="185"/>
      <c r="F200" s="185"/>
      <c r="G200" s="188"/>
      <c r="H200" s="185"/>
      <c r="I200" s="185"/>
      <c r="J200" s="185"/>
      <c r="K200" s="185"/>
      <c r="L200" s="185"/>
      <c r="M200" s="185"/>
      <c r="N200" s="185"/>
      <c r="O200" s="185"/>
      <c r="P200" s="188"/>
      <c r="Q200" s="185"/>
      <c r="R200" s="185"/>
      <c r="S200" s="185"/>
      <c r="T200" s="300"/>
      <c r="U200" s="75"/>
      <c r="V200" s="22"/>
      <c r="W200" s="22"/>
      <c r="X200" s="76"/>
    </row>
    <row r="201" spans="1:24" ht="13.8" thickBot="1">
      <c r="A201" s="761" t="str">
        <f>'PLANILHA '!A69</f>
        <v>4.1</v>
      </c>
      <c r="B201" s="762" t="str">
        <f>'PLANILHA '!D69</f>
        <v>Andaime de madeira para altura até 7 m, compreendendo montagem e desmontagem</v>
      </c>
      <c r="C201" s="783"/>
      <c r="D201" s="783"/>
      <c r="E201" s="783"/>
      <c r="F201" s="783"/>
      <c r="G201" s="783"/>
      <c r="H201" s="783"/>
      <c r="I201" s="783"/>
      <c r="J201" s="783"/>
      <c r="K201" s="783"/>
      <c r="L201" s="783"/>
      <c r="M201" s="783"/>
      <c r="N201" s="783"/>
      <c r="O201" s="783"/>
      <c r="P201" s="783"/>
      <c r="Q201" s="783"/>
      <c r="R201" s="784"/>
      <c r="S201" s="777" t="str">
        <f>'PLANILHA '!E69</f>
        <v>m³</v>
      </c>
      <c r="T201" s="780">
        <f>SUM(R202:R204)</f>
        <v>595.5</v>
      </c>
      <c r="U201" s="84">
        <f>T201</f>
        <v>595.5</v>
      </c>
      <c r="V201" s="22"/>
      <c r="W201" s="22"/>
      <c r="X201" s="76"/>
    </row>
    <row r="202" spans="1:24">
      <c r="A202" s="755"/>
      <c r="B202" s="108" t="s">
        <v>383</v>
      </c>
      <c r="C202" s="104"/>
      <c r="D202" s="104">
        <v>1</v>
      </c>
      <c r="E202" s="104"/>
      <c r="F202" s="116">
        <v>21</v>
      </c>
      <c r="G202" s="116">
        <v>1.5</v>
      </c>
      <c r="H202" s="116">
        <v>7</v>
      </c>
      <c r="I202" s="116"/>
      <c r="J202" s="116"/>
      <c r="K202" s="116"/>
      <c r="L202" s="104"/>
      <c r="M202" s="104"/>
      <c r="N202" s="104"/>
      <c r="O202" s="104"/>
      <c r="P202" s="118">
        <f>H202*G202*F202</f>
        <v>220.5</v>
      </c>
      <c r="Q202" s="104"/>
      <c r="R202" s="116">
        <f>P202*D202</f>
        <v>220.5</v>
      </c>
      <c r="S202" s="778"/>
      <c r="T202" s="781"/>
      <c r="U202" s="75"/>
      <c r="V202" s="22"/>
      <c r="W202" s="22"/>
      <c r="X202" s="76"/>
    </row>
    <row r="203" spans="1:24">
      <c r="A203" s="755"/>
      <c r="B203" s="108" t="s">
        <v>384</v>
      </c>
      <c r="C203" s="104"/>
      <c r="D203" s="104">
        <v>2</v>
      </c>
      <c r="E203" s="104"/>
      <c r="F203" s="116">
        <v>25</v>
      </c>
      <c r="G203" s="116">
        <v>1.5</v>
      </c>
      <c r="H203" s="116">
        <v>5</v>
      </c>
      <c r="I203" s="116"/>
      <c r="J203" s="116"/>
      <c r="K203" s="116"/>
      <c r="L203" s="112"/>
      <c r="M203" s="112"/>
      <c r="N203" s="112"/>
      <c r="O203" s="104"/>
      <c r="P203" s="118">
        <f>H203*G203*F203</f>
        <v>187.5</v>
      </c>
      <c r="Q203" s="104"/>
      <c r="R203" s="116">
        <f>P203*D203</f>
        <v>375</v>
      </c>
      <c r="S203" s="785"/>
      <c r="T203" s="786"/>
      <c r="U203" s="75"/>
      <c r="V203" s="22"/>
      <c r="W203" s="22"/>
      <c r="X203" s="76"/>
    </row>
    <row r="204" spans="1:24" ht="13.8" thickBot="1">
      <c r="A204" s="773"/>
      <c r="B204" s="127"/>
      <c r="C204" s="113"/>
      <c r="D204" s="113"/>
      <c r="E204" s="113"/>
      <c r="F204" s="124"/>
      <c r="G204" s="124"/>
      <c r="H204" s="124"/>
      <c r="I204" s="124"/>
      <c r="J204" s="124"/>
      <c r="K204" s="124"/>
      <c r="L204" s="113"/>
      <c r="M204" s="113"/>
      <c r="N204" s="113"/>
      <c r="O204" s="113"/>
      <c r="P204" s="128"/>
      <c r="Q204" s="113"/>
      <c r="R204" s="124"/>
      <c r="S204" s="779"/>
      <c r="T204" s="782"/>
      <c r="U204" s="75"/>
      <c r="V204" s="22"/>
      <c r="W204" s="22"/>
      <c r="X204" s="76"/>
    </row>
    <row r="205" spans="1:24" ht="13.8" thickBot="1">
      <c r="A205" s="761" t="str">
        <f>'PLANILHA '!A70</f>
        <v>4.2</v>
      </c>
      <c r="B205" s="762" t="str">
        <f>'PLANILHA '!D70</f>
        <v>Plataforma ou passarela de pinho de 1ª ou similar, 1" x 12"</v>
      </c>
      <c r="C205" s="763"/>
      <c r="D205" s="763"/>
      <c r="E205" s="763"/>
      <c r="F205" s="763"/>
      <c r="G205" s="763"/>
      <c r="H205" s="763"/>
      <c r="I205" s="763"/>
      <c r="J205" s="763"/>
      <c r="K205" s="763"/>
      <c r="L205" s="763"/>
      <c r="M205" s="763"/>
      <c r="N205" s="763"/>
      <c r="O205" s="763"/>
      <c r="P205" s="763"/>
      <c r="Q205" s="763"/>
      <c r="R205" s="764"/>
      <c r="S205" s="766" t="str">
        <f>'PLANILHA '!E70</f>
        <v>m²</v>
      </c>
      <c r="T205" s="765">
        <f>SUM(R206:R207)</f>
        <v>71.099999999999994</v>
      </c>
      <c r="U205" s="84">
        <f>T205</f>
        <v>71.099999999999994</v>
      </c>
      <c r="V205" s="22"/>
      <c r="W205" s="22"/>
      <c r="X205" s="76"/>
    </row>
    <row r="206" spans="1:24">
      <c r="A206" s="755"/>
      <c r="B206" s="108" t="s">
        <v>385</v>
      </c>
      <c r="C206" s="104"/>
      <c r="D206" s="104"/>
      <c r="E206" s="104"/>
      <c r="F206" s="116">
        <v>71.099999999999994</v>
      </c>
      <c r="G206" s="116">
        <v>1</v>
      </c>
      <c r="H206" s="116"/>
      <c r="I206" s="116"/>
      <c r="J206" s="116"/>
      <c r="K206" s="116"/>
      <c r="L206" s="116"/>
      <c r="M206" s="116"/>
      <c r="N206" s="116"/>
      <c r="O206" s="116">
        <f>F206*G206</f>
        <v>71.099999999999994</v>
      </c>
      <c r="P206" s="116"/>
      <c r="Q206" s="116"/>
      <c r="R206" s="116">
        <f>O206</f>
        <v>71.099999999999994</v>
      </c>
      <c r="S206" s="767"/>
      <c r="T206" s="760"/>
      <c r="U206" s="75"/>
      <c r="V206" s="22"/>
      <c r="W206" s="22"/>
      <c r="X206" s="76"/>
    </row>
    <row r="207" spans="1:24" ht="13.8" thickBot="1">
      <c r="A207" s="773"/>
      <c r="B207" s="127"/>
      <c r="C207" s="113"/>
      <c r="D207" s="113"/>
      <c r="E207" s="113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768"/>
      <c r="T207" s="772"/>
      <c r="U207" s="75"/>
      <c r="V207" s="22"/>
      <c r="W207" s="22"/>
      <c r="X207" s="76"/>
    </row>
    <row r="208" spans="1:24" ht="13.8" thickBot="1">
      <c r="A208" s="761" t="str">
        <f>'PLANILHA '!A71</f>
        <v>4.3</v>
      </c>
      <c r="B208" s="762" t="str">
        <f>'PLANILHA '!D71</f>
        <v>Dreno de PVC D = 100 mm</v>
      </c>
      <c r="C208" s="763"/>
      <c r="D208" s="763"/>
      <c r="E208" s="763"/>
      <c r="F208" s="763"/>
      <c r="G208" s="763"/>
      <c r="H208" s="763"/>
      <c r="I208" s="763"/>
      <c r="J208" s="763"/>
      <c r="K208" s="763"/>
      <c r="L208" s="763"/>
      <c r="M208" s="763"/>
      <c r="N208" s="763"/>
      <c r="O208" s="763"/>
      <c r="P208" s="763"/>
      <c r="Q208" s="763"/>
      <c r="R208" s="764"/>
      <c r="S208" s="787" t="str">
        <f>'PLANILHA '!E71</f>
        <v>und</v>
      </c>
      <c r="T208" s="765">
        <f>SUM(R209:R210)+1.26</f>
        <v>88.001999999999995</v>
      </c>
      <c r="U208" s="84">
        <f>T208</f>
        <v>88.001999999999995</v>
      </c>
      <c r="V208" s="22"/>
      <c r="W208" s="22"/>
      <c r="X208" s="76"/>
    </row>
    <row r="209" spans="1:24">
      <c r="A209" s="755"/>
      <c r="B209" s="108" t="s">
        <v>283</v>
      </c>
      <c r="C209" s="104"/>
      <c r="D209" s="104"/>
      <c r="E209" s="104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>
        <f>71.1*6.1</f>
        <v>433.70999999999992</v>
      </c>
      <c r="P209" s="116"/>
      <c r="Q209" s="116"/>
      <c r="R209" s="118">
        <f>O209/5</f>
        <v>86.74199999999999</v>
      </c>
      <c r="S209" s="759"/>
      <c r="T209" s="760"/>
      <c r="U209" s="75"/>
      <c r="V209" s="22"/>
      <c r="W209" s="22"/>
      <c r="X209" s="76"/>
    </row>
    <row r="210" spans="1:24" ht="13.8" thickBot="1">
      <c r="A210" s="773"/>
      <c r="B210" s="127"/>
      <c r="C210" s="113"/>
      <c r="D210" s="113"/>
      <c r="E210" s="113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788"/>
      <c r="T210" s="772"/>
      <c r="U210" s="75"/>
      <c r="V210" s="22"/>
      <c r="W210" s="22"/>
      <c r="X210" s="76"/>
    </row>
    <row r="211" spans="1:24" ht="13.8" thickBot="1">
      <c r="A211" s="761" t="str">
        <f>'PLANILHA '!A72</f>
        <v>4.4</v>
      </c>
      <c r="B211" s="762" t="str">
        <f>'PLANILHA '!D72</f>
        <v>Manta Geotêxtil não tecida com resistência longitudinal a tração 10 kN/m, fornecimento e aplicação</v>
      </c>
      <c r="C211" s="763"/>
      <c r="D211" s="763"/>
      <c r="E211" s="763"/>
      <c r="F211" s="763"/>
      <c r="G211" s="763"/>
      <c r="H211" s="763"/>
      <c r="I211" s="763"/>
      <c r="J211" s="763"/>
      <c r="K211" s="763"/>
      <c r="L211" s="763"/>
      <c r="M211" s="763"/>
      <c r="N211" s="763"/>
      <c r="O211" s="763"/>
      <c r="P211" s="763"/>
      <c r="Q211" s="763"/>
      <c r="R211" s="764"/>
      <c r="S211" s="787" t="str">
        <f>'PLANILHA '!E72</f>
        <v>m²</v>
      </c>
      <c r="T211" s="765">
        <f>SUM(R212:R213)</f>
        <v>88.001999999999995</v>
      </c>
      <c r="U211" s="84">
        <f>T211</f>
        <v>88.001999999999995</v>
      </c>
      <c r="V211" s="22"/>
      <c r="W211" s="22"/>
      <c r="X211" s="76"/>
    </row>
    <row r="212" spans="1:24">
      <c r="A212" s="755"/>
      <c r="B212" s="108"/>
      <c r="C212" s="104"/>
      <c r="D212" s="116">
        <f>T208</f>
        <v>88.001999999999995</v>
      </c>
      <c r="E212" s="104"/>
      <c r="F212" s="116">
        <v>1</v>
      </c>
      <c r="G212" s="116">
        <v>1</v>
      </c>
      <c r="H212" s="116"/>
      <c r="I212" s="116"/>
      <c r="J212" s="116"/>
      <c r="K212" s="116"/>
      <c r="L212" s="116"/>
      <c r="M212" s="116"/>
      <c r="N212" s="116"/>
      <c r="O212" s="116">
        <f>F212*G212</f>
        <v>1</v>
      </c>
      <c r="P212" s="116"/>
      <c r="Q212" s="116"/>
      <c r="R212" s="121">
        <f>O212*D212</f>
        <v>88.001999999999995</v>
      </c>
      <c r="S212" s="759"/>
      <c r="T212" s="760"/>
      <c r="U212" s="75"/>
      <c r="V212" s="22"/>
      <c r="W212" s="22"/>
      <c r="X212" s="76"/>
    </row>
    <row r="213" spans="1:24" ht="13.8" thickBot="1">
      <c r="A213" s="773"/>
      <c r="B213" s="108"/>
      <c r="C213" s="104"/>
      <c r="D213" s="104"/>
      <c r="E213" s="104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759"/>
      <c r="T213" s="760"/>
      <c r="U213" s="75"/>
      <c r="V213" s="22"/>
      <c r="W213" s="22"/>
      <c r="X213" s="76"/>
    </row>
    <row r="214" spans="1:24" ht="13.8" thickBot="1">
      <c r="A214" s="761" t="str">
        <f>'PLANILHA '!A73</f>
        <v>4.5</v>
      </c>
      <c r="B214" s="762" t="str">
        <f>'PLANILHA '!D73</f>
        <v>Colchão drenante de brita 2 inclusive fornecimento, espalhamento, compactação e transporte da brita</v>
      </c>
      <c r="C214" s="763"/>
      <c r="D214" s="763"/>
      <c r="E214" s="763"/>
      <c r="F214" s="763"/>
      <c r="G214" s="763"/>
      <c r="H214" s="763"/>
      <c r="I214" s="763"/>
      <c r="J214" s="763"/>
      <c r="K214" s="763"/>
      <c r="L214" s="763"/>
      <c r="M214" s="763"/>
      <c r="N214" s="763"/>
      <c r="O214" s="763"/>
      <c r="P214" s="763"/>
      <c r="Q214" s="763"/>
      <c r="R214" s="764"/>
      <c r="S214" s="787" t="str">
        <f>'PLANILHA '!E73</f>
        <v>m³</v>
      </c>
      <c r="T214" s="765">
        <f>SUM(R215:R216)</f>
        <v>11.000249999999999</v>
      </c>
      <c r="U214" s="84">
        <f>T214</f>
        <v>11.000249999999999</v>
      </c>
      <c r="V214" s="22"/>
      <c r="W214" s="22"/>
      <c r="X214" s="76"/>
    </row>
    <row r="215" spans="1:24">
      <c r="A215" s="755"/>
      <c r="B215" s="108"/>
      <c r="C215" s="104"/>
      <c r="D215" s="116">
        <f>D212</f>
        <v>88.001999999999995</v>
      </c>
      <c r="E215" s="104"/>
      <c r="F215" s="116">
        <v>0.5</v>
      </c>
      <c r="G215" s="116">
        <v>0.5</v>
      </c>
      <c r="H215" s="116"/>
      <c r="I215" s="116">
        <v>0.5</v>
      </c>
      <c r="J215" s="116"/>
      <c r="K215" s="116"/>
      <c r="L215" s="116"/>
      <c r="M215" s="116"/>
      <c r="N215" s="116"/>
      <c r="O215" s="116"/>
      <c r="P215" s="116">
        <f>F215*G215*I215</f>
        <v>0.125</v>
      </c>
      <c r="Q215" s="116"/>
      <c r="R215" s="121">
        <f>P215*D215</f>
        <v>11.000249999999999</v>
      </c>
      <c r="S215" s="759"/>
      <c r="T215" s="760"/>
      <c r="U215" s="75"/>
      <c r="V215" s="22"/>
      <c r="W215" s="22"/>
      <c r="X215" s="76"/>
    </row>
    <row r="216" spans="1:24" ht="13.8" thickBot="1">
      <c r="A216" s="773"/>
      <c r="B216" s="127"/>
      <c r="C216" s="113"/>
      <c r="D216" s="113"/>
      <c r="E216" s="113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788"/>
      <c r="T216" s="772"/>
      <c r="U216" s="75"/>
      <c r="V216" s="22"/>
      <c r="W216" s="22"/>
      <c r="X216" s="76"/>
    </row>
    <row r="217" spans="1:24" ht="13.8" thickBot="1">
      <c r="A217" s="761" t="str">
        <f>'PLANILHA '!A74</f>
        <v>4.6</v>
      </c>
      <c r="B217" s="762" t="str">
        <f>'PLANILHA '!D74</f>
        <v>Remoção cuidadosa do concreto afetado, através de escarificação (considerando esp. Escarificada de 5 cm)</v>
      </c>
      <c r="C217" s="763"/>
      <c r="D217" s="763"/>
      <c r="E217" s="763"/>
      <c r="F217" s="763"/>
      <c r="G217" s="763"/>
      <c r="H217" s="763"/>
      <c r="I217" s="763"/>
      <c r="J217" s="763"/>
      <c r="K217" s="763"/>
      <c r="L217" s="763"/>
      <c r="M217" s="763"/>
      <c r="N217" s="763"/>
      <c r="O217" s="763"/>
      <c r="P217" s="763"/>
      <c r="Q217" s="763"/>
      <c r="R217" s="764"/>
      <c r="S217" s="766" t="str">
        <f>'PLANILHA '!E74</f>
        <v>m²</v>
      </c>
      <c r="T217" s="765">
        <f>SUM(R218:R220)</f>
        <v>473.52599999999995</v>
      </c>
      <c r="U217" s="84">
        <f>T217</f>
        <v>473.52599999999995</v>
      </c>
      <c r="V217" s="22"/>
      <c r="W217" s="22"/>
      <c r="X217" s="76"/>
    </row>
    <row r="218" spans="1:24">
      <c r="A218" s="755"/>
      <c r="B218" s="194" t="s">
        <v>281</v>
      </c>
      <c r="C218" s="104"/>
      <c r="D218" s="104"/>
      <c r="E218" s="104"/>
      <c r="F218" s="116"/>
      <c r="G218" s="116"/>
      <c r="H218" s="116"/>
      <c r="I218" s="116"/>
      <c r="J218" s="116"/>
      <c r="K218" s="116"/>
      <c r="L218" s="116"/>
      <c r="M218" s="116"/>
      <c r="N218" s="116"/>
      <c r="O218" s="104">
        <f>(71.1*2.5)*2+71.1*6.1</f>
        <v>789.20999999999992</v>
      </c>
      <c r="P218" s="116"/>
      <c r="Q218" s="116"/>
      <c r="R218" s="116">
        <f>O218*0.3</f>
        <v>236.76299999999998</v>
      </c>
      <c r="S218" s="767"/>
      <c r="T218" s="760"/>
      <c r="U218" s="75"/>
      <c r="V218" s="22"/>
      <c r="W218" s="22"/>
      <c r="X218" s="76"/>
    </row>
    <row r="219" spans="1:24">
      <c r="A219" s="755"/>
      <c r="B219" s="163" t="s">
        <v>282</v>
      </c>
      <c r="C219" s="112"/>
      <c r="D219" s="104"/>
      <c r="E219" s="112"/>
      <c r="F219" s="117"/>
      <c r="G219" s="117"/>
      <c r="H219" s="117"/>
      <c r="I219" s="117"/>
      <c r="J219" s="117"/>
      <c r="K219" s="117"/>
      <c r="L219" s="117"/>
      <c r="M219" s="117"/>
      <c r="N219" s="117"/>
      <c r="O219" s="104">
        <f>(71.1*2.5)*2+71.1*6.1</f>
        <v>789.20999999999992</v>
      </c>
      <c r="P219" s="117"/>
      <c r="Q219" s="117"/>
      <c r="R219" s="116">
        <f>O219*0.3</f>
        <v>236.76299999999998</v>
      </c>
      <c r="S219" s="767"/>
      <c r="T219" s="760"/>
      <c r="U219" s="75"/>
      <c r="V219" s="22"/>
      <c r="W219" s="22"/>
      <c r="X219" s="76"/>
    </row>
    <row r="220" spans="1:24" ht="13.8" thickBot="1">
      <c r="A220" s="773"/>
      <c r="B220" s="127"/>
      <c r="C220" s="113"/>
      <c r="D220" s="113"/>
      <c r="E220" s="113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768"/>
      <c r="T220" s="772"/>
      <c r="U220" s="75"/>
      <c r="V220" s="22"/>
      <c r="W220" s="22"/>
      <c r="X220" s="76"/>
    </row>
    <row r="221" spans="1:24" ht="13.95" customHeight="1" thickBot="1">
      <c r="A221" s="761" t="str">
        <f>'PLANILHA '!A75</f>
        <v>4.7</v>
      </c>
      <c r="B221" s="762" t="str">
        <f>'PLANILHA '!D75</f>
        <v xml:space="preserve">PERCUSSAO COM BATIDAS LEVES,SEM RETIRADA DO MATERIAL SOLTO Observacao: 3%-DESGASTE DE FERRAMENTAS E EPI 	</v>
      </c>
      <c r="C221" s="763"/>
      <c r="D221" s="763"/>
      <c r="E221" s="763"/>
      <c r="F221" s="763"/>
      <c r="G221" s="763"/>
      <c r="H221" s="763"/>
      <c r="I221" s="763"/>
      <c r="J221" s="763"/>
      <c r="K221" s="763"/>
      <c r="L221" s="763"/>
      <c r="M221" s="763"/>
      <c r="N221" s="763"/>
      <c r="O221" s="763"/>
      <c r="P221" s="763"/>
      <c r="Q221" s="763"/>
      <c r="R221" s="764"/>
      <c r="S221" s="766" t="str">
        <f>'PLANILHA '!E75</f>
        <v>m2</v>
      </c>
      <c r="T221" s="765">
        <f>SUM(R222:R224)</f>
        <v>473.52599999999995</v>
      </c>
      <c r="U221" s="84">
        <f>T221</f>
        <v>473.52599999999995</v>
      </c>
      <c r="V221" s="21"/>
      <c r="W221" s="21"/>
      <c r="X221" s="74"/>
    </row>
    <row r="222" spans="1:24">
      <c r="A222" s="755"/>
      <c r="B222" s="194" t="s">
        <v>284</v>
      </c>
      <c r="C222" s="104"/>
      <c r="D222" s="104"/>
      <c r="E222" s="104"/>
      <c r="F222" s="116"/>
      <c r="G222" s="116"/>
      <c r="H222" s="116"/>
      <c r="I222" s="116"/>
      <c r="J222" s="116"/>
      <c r="K222" s="116"/>
      <c r="L222" s="116"/>
      <c r="M222" s="116"/>
      <c r="N222" s="116"/>
      <c r="O222" s="104">
        <f>(71.1*2.5)*2+71.1*6.1</f>
        <v>789.20999999999992</v>
      </c>
      <c r="P222" s="116"/>
      <c r="Q222" s="116"/>
      <c r="R222" s="116">
        <f>O222*0.3</f>
        <v>236.76299999999998</v>
      </c>
      <c r="S222" s="767"/>
      <c r="T222" s="760"/>
      <c r="U222" s="75"/>
      <c r="V222" s="22" t="s">
        <v>119</v>
      </c>
      <c r="W222" s="22"/>
      <c r="X222" s="76"/>
    </row>
    <row r="223" spans="1:24">
      <c r="A223" s="755"/>
      <c r="B223" s="194" t="s">
        <v>285</v>
      </c>
      <c r="C223" s="112"/>
      <c r="D223" s="104"/>
      <c r="E223" s="112"/>
      <c r="F223" s="117"/>
      <c r="G223" s="117"/>
      <c r="H223" s="117"/>
      <c r="I223" s="117"/>
      <c r="J223" s="117"/>
      <c r="K223" s="117"/>
      <c r="L223" s="117"/>
      <c r="M223" s="117"/>
      <c r="N223" s="117"/>
      <c r="O223" s="104">
        <f>(71.1*2.5)*2+71.1*6.1</f>
        <v>789.20999999999992</v>
      </c>
      <c r="P223" s="117"/>
      <c r="Q223" s="117"/>
      <c r="R223" s="116">
        <f>O223*0.3</f>
        <v>236.76299999999998</v>
      </c>
      <c r="S223" s="767"/>
      <c r="T223" s="760"/>
      <c r="U223" s="75"/>
      <c r="V223" s="22"/>
      <c r="W223" s="22"/>
      <c r="X223" s="76"/>
    </row>
    <row r="224" spans="1:24" ht="13.8" thickBot="1">
      <c r="A224" s="773"/>
      <c r="B224" s="127"/>
      <c r="C224" s="113"/>
      <c r="D224" s="113"/>
      <c r="E224" s="113"/>
      <c r="F224" s="124"/>
      <c r="G224" s="124"/>
      <c r="H224" s="124"/>
      <c r="I224" s="113"/>
      <c r="J224" s="113"/>
      <c r="K224" s="113"/>
      <c r="L224" s="113"/>
      <c r="M224" s="113"/>
      <c r="N224" s="113"/>
      <c r="O224" s="124"/>
      <c r="P224" s="113"/>
      <c r="Q224" s="113"/>
      <c r="R224" s="124"/>
      <c r="S224" s="768"/>
      <c r="T224" s="772"/>
      <c r="U224" s="75"/>
      <c r="V224" s="22"/>
      <c r="W224" s="22"/>
      <c r="X224" s="76"/>
    </row>
    <row r="225" spans="1:24" ht="13.95" customHeight="1" thickBot="1">
      <c r="A225" s="761" t="str">
        <f>'PLANILHA '!A76</f>
        <v>4.8</v>
      </c>
      <c r="B225" s="762" t="str">
        <f>'PLANILHA '!D76</f>
        <v>Limpeza em superfície de concreto com jateamento d'água sob pressão</v>
      </c>
      <c r="C225" s="763"/>
      <c r="D225" s="763"/>
      <c r="E225" s="763"/>
      <c r="F225" s="763"/>
      <c r="G225" s="763"/>
      <c r="H225" s="763"/>
      <c r="I225" s="763"/>
      <c r="J225" s="763"/>
      <c r="K225" s="763"/>
      <c r="L225" s="763"/>
      <c r="M225" s="763"/>
      <c r="N225" s="763"/>
      <c r="O225" s="763"/>
      <c r="P225" s="763"/>
      <c r="Q225" s="763"/>
      <c r="R225" s="764"/>
      <c r="S225" s="766" t="str">
        <f>'PLANILHA '!E76</f>
        <v>m²</v>
      </c>
      <c r="T225" s="765">
        <f>SUM(R226:R228)</f>
        <v>1025.973</v>
      </c>
      <c r="U225" s="84">
        <f>T225</f>
        <v>1025.973</v>
      </c>
      <c r="V225" s="21"/>
      <c r="W225" s="21"/>
      <c r="X225" s="74"/>
    </row>
    <row r="226" spans="1:24">
      <c r="A226" s="755"/>
      <c r="B226" s="194" t="s">
        <v>286</v>
      </c>
      <c r="C226" s="104"/>
      <c r="D226" s="104"/>
      <c r="E226" s="104"/>
      <c r="F226" s="116"/>
      <c r="G226" s="116"/>
      <c r="H226" s="116"/>
      <c r="I226" s="116"/>
      <c r="J226" s="116"/>
      <c r="K226" s="116"/>
      <c r="L226" s="116"/>
      <c r="M226" s="116"/>
      <c r="N226" s="116"/>
      <c r="O226" s="104">
        <f>(71.1*2.5)*2+71.1*6.1</f>
        <v>789.20999999999992</v>
      </c>
      <c r="P226" s="116"/>
      <c r="Q226" s="116"/>
      <c r="R226" s="116">
        <f>O226</f>
        <v>789.20999999999992</v>
      </c>
      <c r="S226" s="767"/>
      <c r="T226" s="760"/>
      <c r="U226" s="75"/>
      <c r="V226" s="22" t="s">
        <v>119</v>
      </c>
      <c r="W226" s="22"/>
      <c r="X226" s="76"/>
    </row>
    <row r="227" spans="1:24">
      <c r="A227" s="755"/>
      <c r="B227" s="194" t="s">
        <v>287</v>
      </c>
      <c r="C227" s="112"/>
      <c r="D227" s="104"/>
      <c r="E227" s="112"/>
      <c r="F227" s="117"/>
      <c r="G227" s="117"/>
      <c r="H227" s="117"/>
      <c r="I227" s="117"/>
      <c r="J227" s="117"/>
      <c r="K227" s="117"/>
      <c r="L227" s="117"/>
      <c r="M227" s="117"/>
      <c r="N227" s="117"/>
      <c r="O227" s="104">
        <f>(71.1*2.5)*2+71.1*6.1</f>
        <v>789.20999999999992</v>
      </c>
      <c r="P227" s="117"/>
      <c r="Q227" s="117"/>
      <c r="R227" s="116">
        <f>O227*0.3</f>
        <v>236.76299999999998</v>
      </c>
      <c r="S227" s="767"/>
      <c r="T227" s="760"/>
      <c r="U227" s="75"/>
      <c r="V227" s="22"/>
      <c r="W227" s="22"/>
      <c r="X227" s="76"/>
    </row>
    <row r="228" spans="1:24" ht="13.8" thickBot="1">
      <c r="A228" s="773"/>
      <c r="B228" s="127"/>
      <c r="C228" s="113"/>
      <c r="D228" s="113"/>
      <c r="E228" s="128"/>
      <c r="F228" s="128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28"/>
      <c r="S228" s="768"/>
      <c r="T228" s="772"/>
      <c r="U228" s="75"/>
      <c r="V228" s="22"/>
      <c r="W228" s="22"/>
      <c r="X228" s="76"/>
    </row>
    <row r="229" spans="1:24" ht="13.95" customHeight="1" thickBot="1">
      <c r="A229" s="761" t="str">
        <f>'PLANILHA '!A77</f>
        <v>4.9</v>
      </c>
      <c r="B229" s="762" t="str">
        <f>'PLANILHA '!D77</f>
        <v>Jateamento de chapa de aço com uso de granalhas de aço grau sa 2 1/2</v>
      </c>
      <c r="C229" s="763"/>
      <c r="D229" s="763"/>
      <c r="E229" s="763"/>
      <c r="F229" s="763"/>
      <c r="G229" s="763"/>
      <c r="H229" s="763"/>
      <c r="I229" s="763"/>
      <c r="J229" s="763"/>
      <c r="K229" s="763"/>
      <c r="L229" s="763"/>
      <c r="M229" s="763"/>
      <c r="N229" s="763"/>
      <c r="O229" s="763"/>
      <c r="P229" s="763"/>
      <c r="Q229" s="763"/>
      <c r="R229" s="764"/>
      <c r="S229" s="787" t="str">
        <f>'PLANILHA '!E77</f>
        <v>m²</v>
      </c>
      <c r="T229" s="765">
        <f>SUM(R230:R232)</f>
        <v>473.52599999999995</v>
      </c>
      <c r="U229" s="84">
        <f>T229</f>
        <v>473.52599999999995</v>
      </c>
      <c r="V229" s="22"/>
      <c r="W229" s="22"/>
      <c r="X229" s="76"/>
    </row>
    <row r="230" spans="1:24">
      <c r="A230" s="755"/>
      <c r="B230" s="108" t="s">
        <v>288</v>
      </c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>
        <f>(71.1*2.5)*2+71.1*6.1</f>
        <v>789.20999999999992</v>
      </c>
      <c r="P230" s="116"/>
      <c r="Q230" s="116"/>
      <c r="R230" s="116">
        <f>O230*0.3</f>
        <v>236.76299999999998</v>
      </c>
      <c r="S230" s="759"/>
      <c r="T230" s="760"/>
      <c r="U230" s="75"/>
      <c r="V230" s="22"/>
      <c r="W230" s="22"/>
      <c r="X230" s="76"/>
    </row>
    <row r="231" spans="1:24">
      <c r="A231" s="755"/>
      <c r="B231" s="108" t="s">
        <v>289</v>
      </c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>
        <f>(71.1*2.5)*2+71.1*6.1</f>
        <v>789.20999999999992</v>
      </c>
      <c r="P231" s="117"/>
      <c r="Q231" s="117"/>
      <c r="R231" s="116">
        <f>O231*0.3</f>
        <v>236.76299999999998</v>
      </c>
      <c r="S231" s="759"/>
      <c r="T231" s="760"/>
      <c r="U231" s="75"/>
      <c r="V231" s="22"/>
      <c r="W231" s="22"/>
      <c r="X231" s="76"/>
    </row>
    <row r="232" spans="1:24" ht="13.8" thickBot="1">
      <c r="A232" s="773"/>
      <c r="B232" s="108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759"/>
      <c r="T232" s="760"/>
      <c r="U232" s="75"/>
      <c r="V232" s="22"/>
      <c r="W232" s="22"/>
      <c r="X232" s="76"/>
    </row>
    <row r="233" spans="1:24" ht="13.95" customHeight="1" thickBot="1">
      <c r="A233" s="761" t="str">
        <f>'PLANILHA '!A78</f>
        <v>4.10</v>
      </c>
      <c r="B233" s="762" t="str">
        <f>'PLANILHA '!D78</f>
        <v>Retirada de ferragem corroída</v>
      </c>
      <c r="C233" s="763"/>
      <c r="D233" s="763"/>
      <c r="E233" s="763"/>
      <c r="F233" s="763"/>
      <c r="G233" s="763"/>
      <c r="H233" s="763"/>
      <c r="I233" s="763"/>
      <c r="J233" s="763"/>
      <c r="K233" s="763"/>
      <c r="L233" s="763"/>
      <c r="M233" s="763"/>
      <c r="N233" s="763"/>
      <c r="O233" s="763"/>
      <c r="P233" s="763"/>
      <c r="Q233" s="763"/>
      <c r="R233" s="764"/>
      <c r="S233" s="787" t="str">
        <f>'PLANILHA '!E78</f>
        <v>kg</v>
      </c>
      <c r="T233" s="765">
        <f>SUM(R234:R236)</f>
        <v>47.352599999999995</v>
      </c>
      <c r="U233" s="84">
        <f>T233</f>
        <v>47.352599999999995</v>
      </c>
      <c r="V233" s="22"/>
      <c r="W233" s="22"/>
      <c r="X233" s="76"/>
    </row>
    <row r="234" spans="1:24">
      <c r="A234" s="755"/>
      <c r="B234" s="108" t="s">
        <v>290</v>
      </c>
      <c r="C234" s="104"/>
      <c r="D234" s="104"/>
      <c r="E234" s="104"/>
      <c r="F234" s="116"/>
      <c r="G234" s="104"/>
      <c r="H234" s="104"/>
      <c r="I234" s="104"/>
      <c r="J234" s="104"/>
      <c r="K234" s="104"/>
      <c r="L234" s="104"/>
      <c r="M234" s="104"/>
      <c r="N234" s="104"/>
      <c r="O234" s="104">
        <f>((71.1*2.5)*2+71.1*6.1)*0.3</f>
        <v>236.76299999999998</v>
      </c>
      <c r="P234" s="104"/>
      <c r="Q234" s="104"/>
      <c r="R234" s="116">
        <f>O234/10</f>
        <v>23.676299999999998</v>
      </c>
      <c r="S234" s="759"/>
      <c r="T234" s="760"/>
      <c r="U234" s="75"/>
      <c r="V234" s="22"/>
      <c r="W234" s="22"/>
      <c r="X234" s="76"/>
    </row>
    <row r="235" spans="1:24">
      <c r="A235" s="755"/>
      <c r="B235" s="108" t="s">
        <v>291</v>
      </c>
      <c r="C235" s="104"/>
      <c r="D235" s="104"/>
      <c r="E235" s="104"/>
      <c r="F235" s="116"/>
      <c r="G235" s="104"/>
      <c r="H235" s="104"/>
      <c r="I235" s="104"/>
      <c r="J235" s="104"/>
      <c r="K235" s="104"/>
      <c r="L235" s="104"/>
      <c r="M235" s="104"/>
      <c r="N235" s="104"/>
      <c r="O235" s="104">
        <f>((71.1*2.5)*2+71.1*6.1)*0.3</f>
        <v>236.76299999999998</v>
      </c>
      <c r="P235" s="104"/>
      <c r="Q235" s="104"/>
      <c r="R235" s="116">
        <f>O235/10</f>
        <v>23.676299999999998</v>
      </c>
      <c r="S235" s="759"/>
      <c r="T235" s="760"/>
      <c r="U235" s="75"/>
      <c r="V235" s="22"/>
      <c r="W235" s="22"/>
      <c r="X235" s="76"/>
    </row>
    <row r="236" spans="1:24" ht="13.8" thickBot="1">
      <c r="A236" s="773"/>
      <c r="B236" s="127"/>
      <c r="C236" s="113"/>
      <c r="D236" s="113"/>
      <c r="E236" s="113"/>
      <c r="F236" s="124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24"/>
      <c r="S236" s="788"/>
      <c r="T236" s="772"/>
      <c r="U236" s="75"/>
      <c r="V236" s="22"/>
      <c r="W236" s="22"/>
      <c r="X236" s="76"/>
    </row>
    <row r="237" spans="1:24" ht="12.75" customHeight="1" thickBot="1">
      <c r="A237" s="761" t="str">
        <f>'PLANILHA '!A79</f>
        <v>4.11</v>
      </c>
      <c r="B237" s="762" t="str">
        <f>'PLANILHA '!D79</f>
        <v>Aço CA-50, fornecimento, dobragem e colocação nas formas (preço médio das bitolas)</v>
      </c>
      <c r="C237" s="763"/>
      <c r="D237" s="763"/>
      <c r="E237" s="763"/>
      <c r="F237" s="763"/>
      <c r="G237" s="763"/>
      <c r="H237" s="763"/>
      <c r="I237" s="763"/>
      <c r="J237" s="763"/>
      <c r="K237" s="763"/>
      <c r="L237" s="763"/>
      <c r="M237" s="763"/>
      <c r="N237" s="763"/>
      <c r="O237" s="763"/>
      <c r="P237" s="763"/>
      <c r="Q237" s="763"/>
      <c r="R237" s="764"/>
      <c r="S237" s="787" t="str">
        <f>'PLANILHA '!E79</f>
        <v>kg</v>
      </c>
      <c r="T237" s="765">
        <f>SUM(R238:R239)</f>
        <v>71.028899999999993</v>
      </c>
      <c r="U237" s="84">
        <f>T237</f>
        <v>71.028899999999993</v>
      </c>
      <c r="V237" s="22"/>
      <c r="W237" s="22"/>
      <c r="X237" s="76"/>
    </row>
    <row r="238" spans="1:24" ht="12.75" customHeight="1">
      <c r="A238" s="755"/>
      <c r="B238" s="108" t="s">
        <v>292</v>
      </c>
      <c r="C238" s="104"/>
      <c r="D238" s="104"/>
      <c r="E238" s="116">
        <f>T233</f>
        <v>47.352599999999995</v>
      </c>
      <c r="F238" s="116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16">
        <f>E238*1.5</f>
        <v>71.028899999999993</v>
      </c>
      <c r="S238" s="759"/>
      <c r="T238" s="760"/>
      <c r="U238" s="75"/>
      <c r="V238" s="22"/>
      <c r="W238" s="22"/>
      <c r="X238" s="76"/>
    </row>
    <row r="239" spans="1:24" ht="12.75" customHeight="1" thickBot="1">
      <c r="A239" s="773"/>
      <c r="B239" s="127"/>
      <c r="C239" s="113"/>
      <c r="D239" s="113"/>
      <c r="E239" s="124"/>
      <c r="F239" s="124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24"/>
      <c r="S239" s="788"/>
      <c r="T239" s="772"/>
      <c r="U239" s="75"/>
      <c r="V239" s="22"/>
      <c r="W239" s="22"/>
      <c r="X239" s="76"/>
    </row>
    <row r="240" spans="1:24" ht="13.8" thickBot="1">
      <c r="A240" s="761" t="str">
        <f>'PLANILHA '!A80</f>
        <v>4.12</v>
      </c>
      <c r="B240" s="762" t="str">
        <f>'PLANILHA '!D80</f>
        <v xml:space="preserve">Furação e fixação de barras de aço </v>
      </c>
      <c r="C240" s="783"/>
      <c r="D240" s="783"/>
      <c r="E240" s="783"/>
      <c r="F240" s="783"/>
      <c r="G240" s="783"/>
      <c r="H240" s="783"/>
      <c r="I240" s="783"/>
      <c r="J240" s="783"/>
      <c r="K240" s="783"/>
      <c r="L240" s="783"/>
      <c r="M240" s="783"/>
      <c r="N240" s="783"/>
      <c r="O240" s="783"/>
      <c r="P240" s="783"/>
      <c r="Q240" s="783"/>
      <c r="R240" s="784"/>
      <c r="S240" s="787" t="str">
        <f>'PLANILHA '!E80</f>
        <v>Und</v>
      </c>
      <c r="T240" s="819">
        <f>SUM(R241:R242)</f>
        <v>14.205779999999999</v>
      </c>
      <c r="U240" s="84">
        <f>T240</f>
        <v>14.205779999999999</v>
      </c>
      <c r="V240" s="22"/>
      <c r="W240" s="22"/>
      <c r="X240" s="76"/>
    </row>
    <row r="241" spans="1:24">
      <c r="A241" s="755"/>
      <c r="B241" s="108" t="s">
        <v>293</v>
      </c>
      <c r="C241" s="104"/>
      <c r="D241" s="104"/>
      <c r="E241" s="104"/>
      <c r="F241" s="116"/>
      <c r="G241" s="116"/>
      <c r="H241" s="116"/>
      <c r="I241" s="104"/>
      <c r="J241" s="104"/>
      <c r="K241" s="104"/>
      <c r="L241" s="104"/>
      <c r="M241" s="104"/>
      <c r="N241" s="104"/>
      <c r="O241" s="104"/>
      <c r="P241" s="116"/>
      <c r="Q241" s="104"/>
      <c r="R241" s="121">
        <f>R238/5</f>
        <v>14.205779999999999</v>
      </c>
      <c r="S241" s="759"/>
      <c r="T241" s="820"/>
      <c r="U241" s="75"/>
      <c r="V241" s="22"/>
      <c r="W241" s="22"/>
      <c r="X241" s="76"/>
    </row>
    <row r="242" spans="1:24" ht="13.8" thickBot="1">
      <c r="A242" s="773"/>
      <c r="B242" s="127"/>
      <c r="C242" s="113"/>
      <c r="D242" s="113"/>
      <c r="E242" s="113"/>
      <c r="F242" s="124"/>
      <c r="G242" s="124"/>
      <c r="H242" s="124"/>
      <c r="I242" s="113"/>
      <c r="J242" s="113"/>
      <c r="K242" s="113"/>
      <c r="L242" s="113"/>
      <c r="M242" s="113"/>
      <c r="N242" s="113"/>
      <c r="O242" s="113"/>
      <c r="P242" s="124"/>
      <c r="Q242" s="113"/>
      <c r="R242" s="232"/>
      <c r="S242" s="788"/>
      <c r="T242" s="821"/>
      <c r="U242" s="75"/>
      <c r="V242" s="22"/>
      <c r="W242" s="22"/>
      <c r="X242" s="76"/>
    </row>
    <row r="243" spans="1:24" ht="13.8" thickBot="1">
      <c r="A243" s="761" t="str">
        <f>'PLANILHA '!A81</f>
        <v>4.13</v>
      </c>
      <c r="B243" s="762" t="str">
        <f>'PLANILHA '!D81</f>
        <v>Recuperação estrutural com uso de argamassa polimérica (espessura média=3,5 cm)</v>
      </c>
      <c r="C243" s="783"/>
      <c r="D243" s="783"/>
      <c r="E243" s="783"/>
      <c r="F243" s="783"/>
      <c r="G243" s="783"/>
      <c r="H243" s="783"/>
      <c r="I243" s="783"/>
      <c r="J243" s="783"/>
      <c r="K243" s="783"/>
      <c r="L243" s="783"/>
      <c r="M243" s="783"/>
      <c r="N243" s="783"/>
      <c r="O243" s="783"/>
      <c r="P243" s="783"/>
      <c r="Q243" s="783"/>
      <c r="R243" s="784"/>
      <c r="S243" s="787" t="str">
        <f>'PLANILHA '!E81</f>
        <v>m²</v>
      </c>
      <c r="T243" s="765">
        <f>SUM(R244:R246)</f>
        <v>473.52599999999995</v>
      </c>
      <c r="U243" s="84">
        <f>T243</f>
        <v>473.52599999999995</v>
      </c>
      <c r="V243" s="22"/>
      <c r="W243" s="22"/>
      <c r="X243" s="76"/>
    </row>
    <row r="244" spans="1:24">
      <c r="A244" s="755"/>
      <c r="B244" s="108" t="s">
        <v>294</v>
      </c>
      <c r="C244" s="104"/>
      <c r="D244" s="104"/>
      <c r="E244" s="104"/>
      <c r="F244" s="116"/>
      <c r="G244" s="116"/>
      <c r="H244" s="116"/>
      <c r="I244" s="104"/>
      <c r="J244" s="104"/>
      <c r="K244" s="104"/>
      <c r="L244" s="104"/>
      <c r="M244" s="104"/>
      <c r="N244" s="104"/>
      <c r="O244" s="104">
        <f>(71.1*2.5)*2+71.1*6.1</f>
        <v>789.20999999999992</v>
      </c>
      <c r="P244" s="116"/>
      <c r="Q244" s="116"/>
      <c r="R244" s="116">
        <f>O244*0.3</f>
        <v>236.76299999999998</v>
      </c>
      <c r="S244" s="759"/>
      <c r="T244" s="760"/>
      <c r="U244" s="75"/>
      <c r="V244" s="22"/>
      <c r="W244" s="22"/>
      <c r="X244" s="76"/>
    </row>
    <row r="245" spans="1:24">
      <c r="A245" s="755"/>
      <c r="B245" s="108" t="s">
        <v>295</v>
      </c>
      <c r="C245" s="104"/>
      <c r="D245" s="104"/>
      <c r="E245" s="104"/>
      <c r="F245" s="116"/>
      <c r="G245" s="116"/>
      <c r="H245" s="117"/>
      <c r="I245" s="104"/>
      <c r="J245" s="104"/>
      <c r="K245" s="104"/>
      <c r="L245" s="104"/>
      <c r="M245" s="104"/>
      <c r="N245" s="104"/>
      <c r="O245" s="104">
        <f>(71.1*2.5)*2+71.1*6.1</f>
        <v>789.20999999999992</v>
      </c>
      <c r="P245" s="117"/>
      <c r="Q245" s="117"/>
      <c r="R245" s="116">
        <f>O245*0.3</f>
        <v>236.76299999999998</v>
      </c>
      <c r="S245" s="759"/>
      <c r="T245" s="760"/>
      <c r="U245" s="75"/>
      <c r="V245" s="22"/>
      <c r="W245" s="22"/>
      <c r="X245" s="76"/>
    </row>
    <row r="246" spans="1:24" ht="13.8" thickBot="1">
      <c r="A246" s="773"/>
      <c r="B246" s="127"/>
      <c r="C246" s="113"/>
      <c r="D246" s="113"/>
      <c r="E246" s="113"/>
      <c r="F246" s="124"/>
      <c r="G246" s="124"/>
      <c r="H246" s="124"/>
      <c r="I246" s="113"/>
      <c r="J246" s="113"/>
      <c r="K246" s="113"/>
      <c r="L246" s="113"/>
      <c r="M246" s="113"/>
      <c r="N246" s="113"/>
      <c r="O246" s="113"/>
      <c r="P246" s="124"/>
      <c r="Q246" s="124"/>
      <c r="R246" s="124"/>
      <c r="S246" s="788"/>
      <c r="T246" s="772"/>
      <c r="U246" s="75"/>
      <c r="V246" s="22"/>
      <c r="W246" s="22"/>
      <c r="X246" s="76"/>
    </row>
    <row r="247" spans="1:24" ht="13.8" thickBot="1">
      <c r="A247" s="755" t="str">
        <f>'PLANILHA '!A82</f>
        <v>4.14</v>
      </c>
      <c r="B247" s="791" t="str">
        <f>'PLANILHA '!D82</f>
        <v>Corte em concreto com discos diamantados para pisos e lajes profundidade de corte 5 cm</v>
      </c>
      <c r="C247" s="792"/>
      <c r="D247" s="792"/>
      <c r="E247" s="792"/>
      <c r="F247" s="792"/>
      <c r="G247" s="792"/>
      <c r="H247" s="792"/>
      <c r="I247" s="792"/>
      <c r="J247" s="792"/>
      <c r="K247" s="792"/>
      <c r="L247" s="792"/>
      <c r="M247" s="792"/>
      <c r="N247" s="792"/>
      <c r="O247" s="792"/>
      <c r="P247" s="792"/>
      <c r="Q247" s="792"/>
      <c r="R247" s="793"/>
      <c r="S247" s="759" t="str">
        <f>'PLANILHA '!E82</f>
        <v>m</v>
      </c>
      <c r="T247" s="760">
        <f>SUM(R248:R250)</f>
        <v>47.352599999999995</v>
      </c>
      <c r="U247" s="84">
        <f>T247</f>
        <v>47.352599999999995</v>
      </c>
      <c r="V247" s="22"/>
      <c r="W247" s="22"/>
      <c r="X247" s="76"/>
    </row>
    <row r="248" spans="1:24">
      <c r="A248" s="755"/>
      <c r="B248" s="108" t="s">
        <v>296</v>
      </c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>
        <f>((71.1*2.5)*2+71.1*6.1)*0.3</f>
        <v>236.76299999999998</v>
      </c>
      <c r="P248" s="116"/>
      <c r="Q248" s="116"/>
      <c r="R248" s="116">
        <f>O248/10</f>
        <v>23.676299999999998</v>
      </c>
      <c r="S248" s="759"/>
      <c r="T248" s="760"/>
      <c r="U248" s="75"/>
      <c r="V248" s="22"/>
      <c r="W248" s="22"/>
      <c r="X248" s="76"/>
    </row>
    <row r="249" spans="1:24">
      <c r="A249" s="755"/>
      <c r="B249" s="108" t="s">
        <v>297</v>
      </c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>
        <f>((71.1*2.5)*2+71.1*6.1)*0.3</f>
        <v>236.76299999999998</v>
      </c>
      <c r="P249" s="117"/>
      <c r="Q249" s="117"/>
      <c r="R249" s="116">
        <f>O249/10</f>
        <v>23.676299999999998</v>
      </c>
      <c r="S249" s="759"/>
      <c r="T249" s="760"/>
      <c r="U249" s="75"/>
      <c r="V249" s="22"/>
      <c r="W249" s="22"/>
      <c r="X249" s="76"/>
    </row>
    <row r="250" spans="1:24" ht="13.8" thickBot="1">
      <c r="A250" s="773"/>
      <c r="B250" s="108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759"/>
      <c r="T250" s="760"/>
      <c r="U250" s="75"/>
      <c r="V250" s="22"/>
      <c r="W250" s="22"/>
      <c r="X250" s="76"/>
    </row>
    <row r="251" spans="1:24" ht="13.95" customHeight="1" thickBot="1">
      <c r="A251" s="761" t="str">
        <f>'PLANILHA '!A83</f>
        <v>4.15</v>
      </c>
      <c r="B251" s="762" t="str">
        <f>'PLANILHA '!D83</f>
        <v xml:space="preserve">Injeção de epóxi em fissuras, inclusive preparo e montagem de bicos de injeção </v>
      </c>
      <c r="C251" s="783"/>
      <c r="D251" s="783"/>
      <c r="E251" s="783"/>
      <c r="F251" s="783"/>
      <c r="G251" s="783"/>
      <c r="H251" s="783"/>
      <c r="I251" s="783"/>
      <c r="J251" s="783"/>
      <c r="K251" s="783"/>
      <c r="L251" s="783"/>
      <c r="M251" s="783"/>
      <c r="N251" s="783"/>
      <c r="O251" s="783"/>
      <c r="P251" s="783"/>
      <c r="Q251" s="783"/>
      <c r="R251" s="784"/>
      <c r="S251" s="777" t="str">
        <f>'PLANILHA '!E83</f>
        <v>kg</v>
      </c>
      <c r="T251" s="780">
        <f>SUM(R252:R253)</f>
        <v>23.676299999999998</v>
      </c>
      <c r="U251" s="84">
        <f>T251</f>
        <v>23.676299999999998</v>
      </c>
      <c r="V251" s="21"/>
      <c r="W251" s="21"/>
      <c r="X251" s="74"/>
    </row>
    <row r="252" spans="1:24">
      <c r="A252" s="755"/>
      <c r="B252" s="108"/>
      <c r="C252" s="104"/>
      <c r="D252" s="104"/>
      <c r="E252" s="104">
        <v>0.5</v>
      </c>
      <c r="F252" s="116">
        <f>T247</f>
        <v>47.352599999999995</v>
      </c>
      <c r="G252" s="116"/>
      <c r="H252" s="116"/>
      <c r="I252" s="104"/>
      <c r="J252" s="104"/>
      <c r="K252" s="104"/>
      <c r="L252" s="104"/>
      <c r="M252" s="104"/>
      <c r="N252" s="104"/>
      <c r="O252" s="104"/>
      <c r="P252" s="118"/>
      <c r="Q252" s="104"/>
      <c r="R252" s="116">
        <f>E252*F252</f>
        <v>23.676299999999998</v>
      </c>
      <c r="S252" s="778"/>
      <c r="T252" s="781"/>
      <c r="U252" s="75"/>
      <c r="V252" s="22" t="s">
        <v>119</v>
      </c>
      <c r="W252" s="22"/>
      <c r="X252" s="76"/>
    </row>
    <row r="253" spans="1:24" ht="13.8" thickBot="1">
      <c r="A253" s="773"/>
      <c r="B253" s="127"/>
      <c r="C253" s="113"/>
      <c r="D253" s="113"/>
      <c r="E253" s="113"/>
      <c r="F253" s="124"/>
      <c r="G253" s="124"/>
      <c r="H253" s="124"/>
      <c r="I253" s="113"/>
      <c r="J253" s="113"/>
      <c r="K253" s="113"/>
      <c r="L253" s="113"/>
      <c r="M253" s="113"/>
      <c r="N253" s="113"/>
      <c r="O253" s="113"/>
      <c r="P253" s="128"/>
      <c r="Q253" s="113"/>
      <c r="R253" s="124"/>
      <c r="S253" s="779"/>
      <c r="T253" s="782"/>
      <c r="U253" s="75"/>
      <c r="V253" s="22"/>
      <c r="W253" s="22"/>
      <c r="X253" s="76"/>
    </row>
    <row r="254" spans="1:24" ht="13.95" customHeight="1" thickBot="1">
      <c r="A254" s="755" t="str">
        <f>'PLANILHA '!A84</f>
        <v>4.16</v>
      </c>
      <c r="B254" s="791" t="str">
        <f>'PLANILHA '!D84</f>
        <v>Pintura a cal em pontes (2 demãos)</v>
      </c>
      <c r="C254" s="792"/>
      <c r="D254" s="792"/>
      <c r="E254" s="792"/>
      <c r="F254" s="792"/>
      <c r="G254" s="792"/>
      <c r="H254" s="792"/>
      <c r="I254" s="792"/>
      <c r="J254" s="792"/>
      <c r="K254" s="792"/>
      <c r="L254" s="792"/>
      <c r="M254" s="792"/>
      <c r="N254" s="792"/>
      <c r="O254" s="792"/>
      <c r="P254" s="792"/>
      <c r="Q254" s="792"/>
      <c r="R254" s="793"/>
      <c r="S254" s="767" t="str">
        <f>'PLANILHA '!E84</f>
        <v>m²</v>
      </c>
      <c r="T254" s="820">
        <f>SUM(R255:R257)</f>
        <v>3156.8399999999997</v>
      </c>
      <c r="U254" s="84">
        <f>T254</f>
        <v>3156.8399999999997</v>
      </c>
      <c r="V254" s="21"/>
      <c r="W254" s="21"/>
      <c r="X254" s="74"/>
    </row>
    <row r="255" spans="1:24">
      <c r="A255" s="755"/>
      <c r="B255" s="108"/>
      <c r="C255" s="104"/>
      <c r="D255" s="121"/>
      <c r="E255" s="104"/>
      <c r="F255" s="118"/>
      <c r="G255" s="104"/>
      <c r="H255" s="104"/>
      <c r="I255" s="104"/>
      <c r="J255" s="104"/>
      <c r="K255" s="104"/>
      <c r="L255" s="104"/>
      <c r="M255" s="104"/>
      <c r="N255" s="104"/>
      <c r="O255" s="104">
        <f>(71.1*2.5)*2+71.1*6.1</f>
        <v>789.20999999999992</v>
      </c>
      <c r="P255" s="104"/>
      <c r="Q255" s="104"/>
      <c r="R255" s="121">
        <f>O255*2</f>
        <v>1578.4199999999998</v>
      </c>
      <c r="S255" s="767"/>
      <c r="T255" s="820"/>
      <c r="U255" s="75"/>
      <c r="V255" s="22"/>
      <c r="W255" s="22"/>
      <c r="X255" s="76"/>
    </row>
    <row r="256" spans="1:24">
      <c r="A256" s="755"/>
      <c r="B256" s="184"/>
      <c r="C256" s="112"/>
      <c r="D256" s="195"/>
      <c r="E256" s="112"/>
      <c r="F256" s="122"/>
      <c r="G256" s="112"/>
      <c r="H256" s="112"/>
      <c r="I256" s="112"/>
      <c r="J256" s="112"/>
      <c r="K256" s="112"/>
      <c r="L256" s="112"/>
      <c r="M256" s="112"/>
      <c r="N256" s="112"/>
      <c r="O256" s="104">
        <f>(71.1*2.5)*2+71.1*6.1</f>
        <v>789.20999999999992</v>
      </c>
      <c r="P256" s="112"/>
      <c r="Q256" s="112"/>
      <c r="R256" s="121">
        <f>O256*2</f>
        <v>1578.4199999999998</v>
      </c>
      <c r="S256" s="767"/>
      <c r="T256" s="820"/>
      <c r="U256" s="75"/>
      <c r="V256" s="22"/>
      <c r="W256" s="22"/>
      <c r="X256" s="76"/>
    </row>
    <row r="257" spans="1:114" ht="13.8" thickBot="1">
      <c r="A257" s="756"/>
      <c r="B257" s="184"/>
      <c r="C257" s="112"/>
      <c r="D257" s="195"/>
      <c r="E257" s="112"/>
      <c r="F257" s="122"/>
      <c r="G257" s="112"/>
      <c r="H257" s="112"/>
      <c r="I257" s="112"/>
      <c r="J257" s="112"/>
      <c r="K257" s="112"/>
      <c r="L257" s="112"/>
      <c r="M257" s="112"/>
      <c r="N257" s="112"/>
      <c r="O257" s="112"/>
      <c r="P257" s="112"/>
      <c r="Q257" s="112"/>
      <c r="R257" s="195"/>
      <c r="S257" s="767"/>
      <c r="T257" s="820"/>
      <c r="U257" s="75"/>
      <c r="V257" s="22"/>
      <c r="W257" s="22"/>
      <c r="X257" s="76"/>
    </row>
    <row r="258" spans="1:114" ht="13.8" thickBot="1">
      <c r="A258" s="301" t="str">
        <f>'PLANILHA '!A85</f>
        <v>5</v>
      </c>
      <c r="B258" s="268" t="str">
        <f>'PLANILHA '!D85</f>
        <v>MURO DE CONTENÇÃO</v>
      </c>
      <c r="C258" s="269"/>
      <c r="D258" s="269"/>
      <c r="E258" s="269"/>
      <c r="F258" s="269"/>
      <c r="G258" s="269"/>
      <c r="H258" s="269"/>
      <c r="I258" s="269"/>
      <c r="J258" s="269"/>
      <c r="K258" s="269"/>
      <c r="L258" s="269"/>
      <c r="M258" s="269"/>
      <c r="N258" s="269"/>
      <c r="O258" s="269"/>
      <c r="P258" s="269"/>
      <c r="Q258" s="269"/>
      <c r="R258" s="269"/>
      <c r="S258" s="269"/>
      <c r="T258" s="302"/>
      <c r="U258" s="84"/>
      <c r="V258" s="22"/>
      <c r="W258" s="22"/>
      <c r="X258" s="76"/>
    </row>
    <row r="259" spans="1:114" ht="13.8" thickBot="1">
      <c r="A259" s="761" t="str">
        <f>'PLANILHA '!A86</f>
        <v>5.1</v>
      </c>
      <c r="B259" s="762" t="str">
        <f>'PLANILHA '!D86</f>
        <v>Tubo dreno, corrugado, espiralado, flexível, perfurado, em polietileno de alta densidade (pead), dn 160 mm</v>
      </c>
      <c r="C259" s="783"/>
      <c r="D259" s="783"/>
      <c r="E259" s="783"/>
      <c r="F259" s="783"/>
      <c r="G259" s="783"/>
      <c r="H259" s="783"/>
      <c r="I259" s="783"/>
      <c r="J259" s="783"/>
      <c r="K259" s="783"/>
      <c r="L259" s="783"/>
      <c r="M259" s="783"/>
      <c r="N259" s="783"/>
      <c r="O259" s="783"/>
      <c r="P259" s="783"/>
      <c r="Q259" s="783"/>
      <c r="R259" s="784"/>
      <c r="S259" s="787" t="str">
        <f>'PLANILHA '!E86</f>
        <v>m</v>
      </c>
      <c r="T259" s="819">
        <f>SUM(R260:R261)</f>
        <v>7</v>
      </c>
      <c r="U259" s="84">
        <f>T259</f>
        <v>7</v>
      </c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</row>
    <row r="260" spans="1:114">
      <c r="A260" s="755"/>
      <c r="B260" s="184"/>
      <c r="C260" s="112">
        <v>1</v>
      </c>
      <c r="D260" s="195"/>
      <c r="E260" s="112"/>
      <c r="F260" s="122">
        <v>7</v>
      </c>
      <c r="G260" s="112"/>
      <c r="H260" s="112"/>
      <c r="I260" s="112"/>
      <c r="J260" s="112"/>
      <c r="K260" s="112"/>
      <c r="L260" s="112"/>
      <c r="M260" s="112"/>
      <c r="N260" s="112"/>
      <c r="O260" s="112"/>
      <c r="P260" s="112"/>
      <c r="Q260" s="112"/>
      <c r="R260" s="121">
        <f>C260*F260</f>
        <v>7</v>
      </c>
      <c r="S260" s="759"/>
      <c r="T260" s="82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</row>
    <row r="261" spans="1:114" ht="13.8" thickBot="1">
      <c r="A261" s="773"/>
      <c r="B261" s="127"/>
      <c r="C261" s="113"/>
      <c r="D261" s="232"/>
      <c r="E261" s="113"/>
      <c r="F261" s="128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232"/>
      <c r="S261" s="788"/>
      <c r="T261" s="82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</row>
    <row r="262" spans="1:114" ht="13.8" thickBot="1">
      <c r="A262" s="761" t="str">
        <f>'PLANILHA '!A87</f>
        <v>5.2</v>
      </c>
      <c r="B262" s="762" t="str">
        <f>'PLANILHA '!D87</f>
        <v>Manta Geotêxtil não tecida com resistência longitudinal a tração 10 kN/m, fornecimento e aplicação</v>
      </c>
      <c r="C262" s="783"/>
      <c r="D262" s="783"/>
      <c r="E262" s="783"/>
      <c r="F262" s="783"/>
      <c r="G262" s="783"/>
      <c r="H262" s="783"/>
      <c r="I262" s="783"/>
      <c r="J262" s="783"/>
      <c r="K262" s="783"/>
      <c r="L262" s="783"/>
      <c r="M262" s="783"/>
      <c r="N262" s="783"/>
      <c r="O262" s="783"/>
      <c r="P262" s="783"/>
      <c r="Q262" s="783"/>
      <c r="R262" s="784"/>
      <c r="S262" s="787" t="str">
        <f>'PLANILHA '!E87</f>
        <v>m²</v>
      </c>
      <c r="T262" s="819">
        <f>SUM(R263:R264)</f>
        <v>12</v>
      </c>
      <c r="U262" s="84">
        <f>T262</f>
        <v>12</v>
      </c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</row>
    <row r="263" spans="1:114">
      <c r="A263" s="755"/>
      <c r="B263" s="184"/>
      <c r="C263" s="112"/>
      <c r="D263" s="195">
        <v>12</v>
      </c>
      <c r="E263" s="112"/>
      <c r="F263" s="122">
        <v>1</v>
      </c>
      <c r="G263" s="122">
        <v>1</v>
      </c>
      <c r="H263" s="112"/>
      <c r="I263" s="112"/>
      <c r="J263" s="112"/>
      <c r="K263" s="112"/>
      <c r="L263" s="112"/>
      <c r="M263" s="112"/>
      <c r="N263" s="112"/>
      <c r="O263" s="112"/>
      <c r="P263" s="112"/>
      <c r="Q263" s="112"/>
      <c r="R263" s="195">
        <f>D263*F263*G263</f>
        <v>12</v>
      </c>
      <c r="S263" s="759"/>
      <c r="T263" s="820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</row>
    <row r="264" spans="1:114" ht="13.8" thickBot="1">
      <c r="A264" s="773"/>
      <c r="B264" s="127"/>
      <c r="C264" s="113"/>
      <c r="D264" s="232"/>
      <c r="E264" s="113"/>
      <c r="F264" s="128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232"/>
      <c r="S264" s="788"/>
      <c r="T264" s="821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</row>
    <row r="265" spans="1:114" ht="13.8" thickBot="1">
      <c r="A265" s="761" t="str">
        <f>'PLANILHA '!A88</f>
        <v>5.3</v>
      </c>
      <c r="B265" s="762" t="str">
        <f>'PLANILHA '!D88</f>
        <v>Dreno de PVC D = 50 mm</v>
      </c>
      <c r="C265" s="783"/>
      <c r="D265" s="783"/>
      <c r="E265" s="783"/>
      <c r="F265" s="783"/>
      <c r="G265" s="783"/>
      <c r="H265" s="783"/>
      <c r="I265" s="783"/>
      <c r="J265" s="783"/>
      <c r="K265" s="783"/>
      <c r="L265" s="783"/>
      <c r="M265" s="783"/>
      <c r="N265" s="783"/>
      <c r="O265" s="783"/>
      <c r="P265" s="783"/>
      <c r="Q265" s="783"/>
      <c r="R265" s="784"/>
      <c r="S265" s="787" t="str">
        <f>'PLANILHA '!E88</f>
        <v>m</v>
      </c>
      <c r="T265" s="819">
        <f>SUM(R266:R267)</f>
        <v>7.1999999999999993</v>
      </c>
      <c r="U265" s="84">
        <f>T265</f>
        <v>7.1999999999999993</v>
      </c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</row>
    <row r="266" spans="1:114">
      <c r="A266" s="755"/>
      <c r="B266" s="184"/>
      <c r="C266" s="112"/>
      <c r="D266" s="195">
        <v>12</v>
      </c>
      <c r="E266" s="112"/>
      <c r="F266" s="122">
        <v>0.6</v>
      </c>
      <c r="G266" s="112"/>
      <c r="H266" s="112"/>
      <c r="I266" s="112"/>
      <c r="J266" s="112"/>
      <c r="K266" s="112"/>
      <c r="L266" s="112"/>
      <c r="M266" s="112"/>
      <c r="N266" s="112"/>
      <c r="O266" s="112"/>
      <c r="P266" s="112"/>
      <c r="Q266" s="112"/>
      <c r="R266" s="195">
        <f>D266*F266</f>
        <v>7.1999999999999993</v>
      </c>
      <c r="S266" s="759"/>
      <c r="T266" s="820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</row>
    <row r="267" spans="1:114" ht="13.8" thickBot="1">
      <c r="A267" s="773"/>
      <c r="B267" s="127"/>
      <c r="C267" s="113"/>
      <c r="D267" s="232"/>
      <c r="E267" s="113"/>
      <c r="F267" s="128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232"/>
      <c r="S267" s="788"/>
      <c r="T267" s="821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</row>
    <row r="268" spans="1:114" ht="13.8" thickBot="1">
      <c r="A268" s="755" t="str">
        <f>'PLANILHA '!A89</f>
        <v>5.4</v>
      </c>
      <c r="B268" s="791" t="str">
        <f>'PLANILHA '!D89</f>
        <v>Colchão drenante de brita 2 inclusive fornecimento, espalhamento, compactação e transporte da brita</v>
      </c>
      <c r="C268" s="792"/>
      <c r="D268" s="792"/>
      <c r="E268" s="792"/>
      <c r="F268" s="792"/>
      <c r="G268" s="792"/>
      <c r="H268" s="792"/>
      <c r="I268" s="792"/>
      <c r="J268" s="792"/>
      <c r="K268" s="792"/>
      <c r="L268" s="792"/>
      <c r="M268" s="792"/>
      <c r="N268" s="792"/>
      <c r="O268" s="792"/>
      <c r="P268" s="792"/>
      <c r="Q268" s="792"/>
      <c r="R268" s="793"/>
      <c r="S268" s="759" t="str">
        <f>'PLANILHA '!E89</f>
        <v>m³</v>
      </c>
      <c r="T268" s="822">
        <f>SUM(R269:R270)</f>
        <v>2.1</v>
      </c>
      <c r="U268" s="84">
        <f>T268</f>
        <v>2.1</v>
      </c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</row>
    <row r="269" spans="1:114">
      <c r="A269" s="755"/>
      <c r="B269" s="184"/>
      <c r="C269" s="112"/>
      <c r="D269" s="195"/>
      <c r="E269" s="112"/>
      <c r="F269" s="122">
        <v>7</v>
      </c>
      <c r="G269" s="112"/>
      <c r="H269" s="112">
        <v>1.5</v>
      </c>
      <c r="I269" s="112">
        <v>0.2</v>
      </c>
      <c r="J269" s="112"/>
      <c r="K269" s="112"/>
      <c r="L269" s="112"/>
      <c r="M269" s="112"/>
      <c r="N269" s="112"/>
      <c r="O269" s="112"/>
      <c r="P269" s="112">
        <f>F269*H269*I269</f>
        <v>2.1</v>
      </c>
      <c r="Q269" s="112"/>
      <c r="R269" s="246">
        <f>P269</f>
        <v>2.1</v>
      </c>
      <c r="S269" s="759"/>
      <c r="T269" s="822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</row>
    <row r="270" spans="1:114" ht="13.8" thickBot="1">
      <c r="A270" s="773"/>
      <c r="B270" s="184"/>
      <c r="C270" s="112"/>
      <c r="D270" s="195"/>
      <c r="E270" s="112"/>
      <c r="F270" s="122"/>
      <c r="G270" s="112"/>
      <c r="H270" s="112"/>
      <c r="I270" s="112"/>
      <c r="J270" s="112"/>
      <c r="K270" s="112"/>
      <c r="L270" s="112"/>
      <c r="M270" s="112"/>
      <c r="N270" s="112"/>
      <c r="O270" s="112"/>
      <c r="P270" s="112"/>
      <c r="Q270" s="112"/>
      <c r="R270" s="195"/>
      <c r="S270" s="759"/>
      <c r="T270" s="822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</row>
    <row r="271" spans="1:114" ht="13.8" thickBot="1">
      <c r="A271" s="761" t="str">
        <f>'PLANILHA '!A90</f>
        <v>5.5</v>
      </c>
      <c r="B271" s="762" t="str">
        <f>'PLANILHA '!D90</f>
        <v>Escavação, carga e transporte de material de 1º categoria</v>
      </c>
      <c r="C271" s="783"/>
      <c r="D271" s="783"/>
      <c r="E271" s="783"/>
      <c r="F271" s="783"/>
      <c r="G271" s="783"/>
      <c r="H271" s="783"/>
      <c r="I271" s="783"/>
      <c r="J271" s="783"/>
      <c r="K271" s="783"/>
      <c r="L271" s="783"/>
      <c r="M271" s="783"/>
      <c r="N271" s="783"/>
      <c r="O271" s="783"/>
      <c r="P271" s="783"/>
      <c r="Q271" s="783"/>
      <c r="R271" s="784"/>
      <c r="S271" s="787" t="str">
        <f>'PLANILHA '!E90</f>
        <v>m³</v>
      </c>
      <c r="T271" s="819">
        <f>SUM(R272:R273)</f>
        <v>147</v>
      </c>
      <c r="U271" s="84">
        <f>T271</f>
        <v>147</v>
      </c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</row>
    <row r="272" spans="1:114">
      <c r="A272" s="755"/>
      <c r="B272" s="184"/>
      <c r="C272" s="112"/>
      <c r="D272" s="195">
        <v>2</v>
      </c>
      <c r="E272" s="112"/>
      <c r="F272" s="122">
        <v>7</v>
      </c>
      <c r="G272" s="112">
        <v>3.5</v>
      </c>
      <c r="H272" s="112">
        <v>3</v>
      </c>
      <c r="I272" s="112"/>
      <c r="J272" s="112"/>
      <c r="K272" s="112"/>
      <c r="L272" s="112"/>
      <c r="M272" s="112"/>
      <c r="N272" s="112"/>
      <c r="O272" s="112"/>
      <c r="P272" s="112">
        <f>F272*G272*H272</f>
        <v>73.5</v>
      </c>
      <c r="Q272" s="112"/>
      <c r="R272" s="195">
        <f>P272*D272</f>
        <v>147</v>
      </c>
      <c r="S272" s="759"/>
      <c r="T272" s="820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</row>
    <row r="273" spans="1:114" ht="13.8" thickBot="1">
      <c r="A273" s="773"/>
      <c r="B273" s="127"/>
      <c r="C273" s="113"/>
      <c r="D273" s="232"/>
      <c r="E273" s="113"/>
      <c r="F273" s="128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232"/>
      <c r="S273" s="788"/>
      <c r="T273" s="821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</row>
    <row r="274" spans="1:114" ht="13.8" thickBot="1">
      <c r="A274" s="761" t="str">
        <f>'PLANILHA '!A91</f>
        <v>5.6</v>
      </c>
      <c r="B274" s="762" t="str">
        <f>'PLANILHA '!D91</f>
        <v>Reaterro de valas, exclusive compactação</v>
      </c>
      <c r="C274" s="783"/>
      <c r="D274" s="783"/>
      <c r="E274" s="783"/>
      <c r="F274" s="783"/>
      <c r="G274" s="783"/>
      <c r="H274" s="783"/>
      <c r="I274" s="783"/>
      <c r="J274" s="783"/>
      <c r="K274" s="783"/>
      <c r="L274" s="783"/>
      <c r="M274" s="783"/>
      <c r="N274" s="783"/>
      <c r="O274" s="783"/>
      <c r="P274" s="783"/>
      <c r="Q274" s="783"/>
      <c r="R274" s="784"/>
      <c r="S274" s="787" t="str">
        <f>'PLANILHA '!E91</f>
        <v>m³</v>
      </c>
      <c r="T274" s="819">
        <f>SUM(R275:R276)</f>
        <v>147</v>
      </c>
      <c r="U274" s="84">
        <f>T274</f>
        <v>147</v>
      </c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</row>
    <row r="275" spans="1:114">
      <c r="A275" s="755"/>
      <c r="B275" s="184"/>
      <c r="C275" s="112"/>
      <c r="D275" s="195">
        <v>2</v>
      </c>
      <c r="E275" s="112"/>
      <c r="F275" s="122">
        <v>7</v>
      </c>
      <c r="G275" s="112">
        <v>3.5</v>
      </c>
      <c r="H275" s="112">
        <v>3</v>
      </c>
      <c r="I275" s="112"/>
      <c r="J275" s="112"/>
      <c r="K275" s="112"/>
      <c r="L275" s="112"/>
      <c r="M275" s="112"/>
      <c r="N275" s="112"/>
      <c r="O275" s="112"/>
      <c r="P275" s="112">
        <f>F275*G275*H275</f>
        <v>73.5</v>
      </c>
      <c r="Q275" s="112"/>
      <c r="R275" s="195">
        <f>P275*D275</f>
        <v>147</v>
      </c>
      <c r="S275" s="759"/>
      <c r="T275" s="820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</row>
    <row r="276" spans="1:114" ht="13.8" thickBot="1">
      <c r="A276" s="773"/>
      <c r="B276" s="127"/>
      <c r="C276" s="113"/>
      <c r="D276" s="232"/>
      <c r="E276" s="113"/>
      <c r="F276" s="128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232"/>
      <c r="S276" s="788"/>
      <c r="T276" s="821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</row>
    <row r="277" spans="1:114" ht="13.8" thickBot="1">
      <c r="A277" s="761" t="str">
        <f>'PLANILHA '!A92</f>
        <v>5.7</v>
      </c>
      <c r="B277" s="762" t="str">
        <f>'PLANILHA '!D92</f>
        <v>Compactação de aterros 100% PN</v>
      </c>
      <c r="C277" s="783"/>
      <c r="D277" s="783"/>
      <c r="E277" s="783"/>
      <c r="F277" s="783"/>
      <c r="G277" s="783"/>
      <c r="H277" s="783"/>
      <c r="I277" s="783"/>
      <c r="J277" s="783"/>
      <c r="K277" s="783"/>
      <c r="L277" s="783"/>
      <c r="M277" s="783"/>
      <c r="N277" s="783"/>
      <c r="O277" s="783"/>
      <c r="P277" s="783"/>
      <c r="Q277" s="783"/>
      <c r="R277" s="784"/>
      <c r="S277" s="787" t="str">
        <f>'PLANILHA '!E92</f>
        <v>m³</v>
      </c>
      <c r="T277" s="819">
        <f>SUM(R278:R279)</f>
        <v>147</v>
      </c>
      <c r="U277" s="84">
        <f>T277</f>
        <v>147</v>
      </c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</row>
    <row r="278" spans="1:114">
      <c r="A278" s="755"/>
      <c r="B278" s="184"/>
      <c r="C278" s="112"/>
      <c r="D278" s="195">
        <v>2</v>
      </c>
      <c r="E278" s="112"/>
      <c r="F278" s="122">
        <v>7</v>
      </c>
      <c r="G278" s="112">
        <v>3.5</v>
      </c>
      <c r="H278" s="112">
        <v>3</v>
      </c>
      <c r="I278" s="112"/>
      <c r="J278" s="112"/>
      <c r="K278" s="112"/>
      <c r="L278" s="112"/>
      <c r="M278" s="112"/>
      <c r="N278" s="112"/>
      <c r="O278" s="112"/>
      <c r="P278" s="112">
        <f>F278*G278*H278</f>
        <v>73.5</v>
      </c>
      <c r="Q278" s="112"/>
      <c r="R278" s="195">
        <f>P278*D278</f>
        <v>147</v>
      </c>
      <c r="S278" s="759"/>
      <c r="T278" s="820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</row>
    <row r="279" spans="1:114" ht="13.8" thickBot="1">
      <c r="A279" s="773"/>
      <c r="B279" s="127"/>
      <c r="C279" s="113"/>
      <c r="D279" s="232"/>
      <c r="E279" s="113"/>
      <c r="F279" s="128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232"/>
      <c r="S279" s="788"/>
      <c r="T279" s="821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</row>
    <row r="280" spans="1:114" ht="13.8" thickBot="1">
      <c r="A280" s="761" t="str">
        <f>'PLANILHA '!A93</f>
        <v>5.8</v>
      </c>
      <c r="B280" s="762" t="str">
        <f>'PLANILHA '!D93</f>
        <v>Fornecimento, preparo e aplicação de concreto magro com consumo mínimo de cimento de 250 kg/m3 (brita 1 e 2) - (5%de perdas já incluído no custo)</v>
      </c>
      <c r="C280" s="783"/>
      <c r="D280" s="783"/>
      <c r="E280" s="783"/>
      <c r="F280" s="783"/>
      <c r="G280" s="783"/>
      <c r="H280" s="783"/>
      <c r="I280" s="783"/>
      <c r="J280" s="783"/>
      <c r="K280" s="783"/>
      <c r="L280" s="783"/>
      <c r="M280" s="783"/>
      <c r="N280" s="783"/>
      <c r="O280" s="783"/>
      <c r="P280" s="783"/>
      <c r="Q280" s="783"/>
      <c r="R280" s="784"/>
      <c r="S280" s="787" t="str">
        <f>'PLANILHA '!E93</f>
        <v>m²</v>
      </c>
      <c r="T280" s="765">
        <f>SUM(R281:R282)</f>
        <v>1.05</v>
      </c>
      <c r="U280" s="84">
        <f>T280</f>
        <v>1.05</v>
      </c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</row>
    <row r="281" spans="1:114">
      <c r="A281" s="755"/>
      <c r="B281" s="184"/>
      <c r="C281" s="112"/>
      <c r="D281" s="195">
        <v>2</v>
      </c>
      <c r="E281" s="112"/>
      <c r="F281" s="122">
        <v>7</v>
      </c>
      <c r="G281" s="112">
        <v>1.5</v>
      </c>
      <c r="H281" s="112">
        <v>0.05</v>
      </c>
      <c r="I281" s="112"/>
      <c r="J281" s="112"/>
      <c r="K281" s="112"/>
      <c r="L281" s="112"/>
      <c r="M281" s="112"/>
      <c r="N281" s="112"/>
      <c r="O281" s="112"/>
      <c r="P281" s="112">
        <f>F281*G281*H281</f>
        <v>0.52500000000000002</v>
      </c>
      <c r="Q281" s="112"/>
      <c r="R281" s="117">
        <f>P281*D281</f>
        <v>1.05</v>
      </c>
      <c r="S281" s="759"/>
      <c r="T281" s="760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</row>
    <row r="282" spans="1:114" ht="13.8" thickBot="1">
      <c r="A282" s="773"/>
      <c r="B282" s="127"/>
      <c r="C282" s="113"/>
      <c r="D282" s="232"/>
      <c r="E282" s="113"/>
      <c r="F282" s="128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232"/>
      <c r="S282" s="788"/>
      <c r="T282" s="77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</row>
    <row r="283" spans="1:114" ht="13.8" thickBot="1">
      <c r="A283" s="761" t="str">
        <f>'PLANILHA '!A94</f>
        <v>5.9</v>
      </c>
      <c r="B283" s="762" t="str">
        <f>'PLANILHA '!D94</f>
        <v xml:space="preserve"> Concreto estrutural usinado Fck=40 MPa, tudo incluído, inclusive bombeamento.</v>
      </c>
      <c r="C283" s="783"/>
      <c r="D283" s="783"/>
      <c r="E283" s="783"/>
      <c r="F283" s="783"/>
      <c r="G283" s="783"/>
      <c r="H283" s="783"/>
      <c r="I283" s="783"/>
      <c r="J283" s="783"/>
      <c r="K283" s="783"/>
      <c r="L283" s="783"/>
      <c r="M283" s="783"/>
      <c r="N283" s="783"/>
      <c r="O283" s="783"/>
      <c r="P283" s="783"/>
      <c r="Q283" s="783"/>
      <c r="R283" s="784"/>
      <c r="S283" s="787" t="str">
        <f>'PLANILHA '!E94</f>
        <v>m³</v>
      </c>
      <c r="T283" s="765">
        <f>SUM(R284:R285)</f>
        <v>20.3</v>
      </c>
      <c r="U283" s="84">
        <f>T283</f>
        <v>20.3</v>
      </c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</row>
    <row r="284" spans="1:114">
      <c r="A284" s="755"/>
      <c r="B284" s="184"/>
      <c r="C284" s="112"/>
      <c r="D284" s="195">
        <v>2</v>
      </c>
      <c r="E284" s="112"/>
      <c r="F284" s="122">
        <v>7</v>
      </c>
      <c r="G284" s="112"/>
      <c r="H284" s="112"/>
      <c r="I284" s="112"/>
      <c r="J284" s="112"/>
      <c r="K284" s="112"/>
      <c r="L284" s="112"/>
      <c r="M284" s="112"/>
      <c r="N284" s="112"/>
      <c r="O284" s="112">
        <v>1.45</v>
      </c>
      <c r="P284" s="112"/>
      <c r="Q284" s="112"/>
      <c r="R284" s="117">
        <f>D284*F284*O284</f>
        <v>20.3</v>
      </c>
      <c r="S284" s="759"/>
      <c r="T284" s="760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</row>
    <row r="285" spans="1:114" ht="13.8" thickBot="1">
      <c r="A285" s="773"/>
      <c r="B285" s="127"/>
      <c r="C285" s="113"/>
      <c r="D285" s="232"/>
      <c r="E285" s="113"/>
      <c r="F285" s="128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232"/>
      <c r="S285" s="788"/>
      <c r="T285" s="772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</row>
    <row r="286" spans="1:114" ht="13.8" thickBot="1">
      <c r="A286" s="761" t="str">
        <f>'PLANILHA '!A95</f>
        <v>5.10</v>
      </c>
      <c r="B286" s="762" t="str">
        <f>'PLANILHA '!D95</f>
        <v>Aço CA-50, fornecimento, dobragem e colocação nas formas (preço médio das bitolas)</v>
      </c>
      <c r="C286" s="783"/>
      <c r="D286" s="783"/>
      <c r="E286" s="783"/>
      <c r="F286" s="783"/>
      <c r="G286" s="783"/>
      <c r="H286" s="783"/>
      <c r="I286" s="783"/>
      <c r="J286" s="783"/>
      <c r="K286" s="783"/>
      <c r="L286" s="783"/>
      <c r="M286" s="783"/>
      <c r="N286" s="783"/>
      <c r="O286" s="783"/>
      <c r="P286" s="783"/>
      <c r="Q286" s="783"/>
      <c r="R286" s="784"/>
      <c r="S286" s="787" t="str">
        <f>'PLANILHA '!E95</f>
        <v>kg</v>
      </c>
      <c r="T286" s="819">
        <f>SUM(R287:R288)</f>
        <v>359.09090909090907</v>
      </c>
      <c r="U286" s="84">
        <f>T286</f>
        <v>359.09090909090907</v>
      </c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</row>
    <row r="287" spans="1:114" s="132" customFormat="1">
      <c r="A287" s="755"/>
      <c r="B287" s="108"/>
      <c r="C287" s="104" t="s">
        <v>371</v>
      </c>
      <c r="D287" s="121"/>
      <c r="E287" s="104">
        <v>395</v>
      </c>
      <c r="F287" s="118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>
        <v>1.1000000000000001</v>
      </c>
      <c r="R287" s="118">
        <f t="shared" ref="R287" si="4">E287/Q287</f>
        <v>359.09090909090907</v>
      </c>
      <c r="S287" s="759"/>
      <c r="T287" s="820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</row>
    <row r="288" spans="1:114" s="132" customFormat="1" ht="13.8" thickBot="1">
      <c r="A288" s="773"/>
      <c r="B288" s="127"/>
      <c r="C288" s="113"/>
      <c r="D288" s="232"/>
      <c r="E288" s="113"/>
      <c r="F288" s="128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28"/>
      <c r="S288" s="788"/>
      <c r="T288" s="821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</row>
    <row r="289" spans="1:114" s="233" customFormat="1" ht="13.8" thickBot="1">
      <c r="A289" s="755" t="str">
        <f>'PLANILHA '!A96</f>
        <v>5.11</v>
      </c>
      <c r="B289" s="791" t="str">
        <f>'PLANILHA '!D96</f>
        <v xml:space="preserve">Fôrma de chapa compensada resinada 12mm, levando-se em conta a utilização 3 vezes (incluido o material, corte,montagem, escoramento e desfôrma) </v>
      </c>
      <c r="C289" s="792"/>
      <c r="D289" s="792"/>
      <c r="E289" s="792"/>
      <c r="F289" s="792"/>
      <c r="G289" s="792"/>
      <c r="H289" s="792"/>
      <c r="I289" s="792"/>
      <c r="J289" s="792"/>
      <c r="K289" s="792"/>
      <c r="L289" s="792"/>
      <c r="M289" s="792"/>
      <c r="N289" s="792"/>
      <c r="O289" s="792"/>
      <c r="P289" s="792"/>
      <c r="Q289" s="792"/>
      <c r="R289" s="793"/>
      <c r="S289" s="759" t="str">
        <f>'PLANILHA '!E96</f>
        <v>m²</v>
      </c>
      <c r="T289" s="820">
        <f>SUM(R290:R293)</f>
        <v>111</v>
      </c>
      <c r="U289" s="84">
        <f>T289</f>
        <v>111</v>
      </c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</row>
    <row r="290" spans="1:114" s="132" customFormat="1">
      <c r="A290" s="755"/>
      <c r="B290" s="108" t="s">
        <v>372</v>
      </c>
      <c r="C290" s="104"/>
      <c r="D290" s="121">
        <v>8</v>
      </c>
      <c r="E290" s="104"/>
      <c r="F290" s="118"/>
      <c r="G290" s="104"/>
      <c r="H290" s="104"/>
      <c r="I290" s="104"/>
      <c r="J290" s="104"/>
      <c r="K290" s="104"/>
      <c r="L290" s="104"/>
      <c r="M290" s="104"/>
      <c r="N290" s="104"/>
      <c r="O290" s="112">
        <v>1.45</v>
      </c>
      <c r="P290" s="104"/>
      <c r="Q290" s="104"/>
      <c r="R290" s="121">
        <f>O290*D290</f>
        <v>11.6</v>
      </c>
      <c r="S290" s="759"/>
      <c r="T290" s="82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</row>
    <row r="291" spans="1:114" s="132" customFormat="1">
      <c r="A291" s="755"/>
      <c r="B291" s="108" t="s">
        <v>374</v>
      </c>
      <c r="C291" s="104"/>
      <c r="D291" s="121">
        <v>2</v>
      </c>
      <c r="E291" s="104"/>
      <c r="F291" s="118"/>
      <c r="G291" s="118">
        <v>7</v>
      </c>
      <c r="H291" s="104">
        <v>3</v>
      </c>
      <c r="I291" s="104"/>
      <c r="J291" s="104"/>
      <c r="K291" s="104"/>
      <c r="L291" s="104"/>
      <c r="M291" s="104"/>
      <c r="N291" s="104"/>
      <c r="O291" s="104">
        <f>G291*H291</f>
        <v>21</v>
      </c>
      <c r="P291" s="104"/>
      <c r="Q291" s="104"/>
      <c r="R291" s="121">
        <f>O291*D291</f>
        <v>42</v>
      </c>
      <c r="S291" s="759"/>
      <c r="T291" s="820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</row>
    <row r="292" spans="1:114" s="132" customFormat="1">
      <c r="A292" s="755"/>
      <c r="B292" s="108" t="s">
        <v>373</v>
      </c>
      <c r="C292" s="104"/>
      <c r="D292" s="121">
        <v>2</v>
      </c>
      <c r="E292" s="104"/>
      <c r="F292" s="118"/>
      <c r="G292" s="118">
        <v>7</v>
      </c>
      <c r="H292" s="104">
        <v>4.0999999999999996</v>
      </c>
      <c r="I292" s="104"/>
      <c r="J292" s="104"/>
      <c r="K292" s="104"/>
      <c r="L292" s="104"/>
      <c r="M292" s="104"/>
      <c r="N292" s="104"/>
      <c r="O292" s="104">
        <f>G292*H292</f>
        <v>28.699999999999996</v>
      </c>
      <c r="P292" s="104"/>
      <c r="Q292" s="104"/>
      <c r="R292" s="121">
        <f>D292*O292</f>
        <v>57.399999999999991</v>
      </c>
      <c r="S292" s="759"/>
      <c r="T292" s="820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</row>
    <row r="293" spans="1:114" s="132" customFormat="1" ht="13.8" thickBot="1">
      <c r="A293" s="773"/>
      <c r="B293" s="184"/>
      <c r="C293" s="112"/>
      <c r="D293" s="195"/>
      <c r="E293" s="112"/>
      <c r="F293" s="122"/>
      <c r="G293" s="112"/>
      <c r="H293" s="112"/>
      <c r="I293" s="112"/>
      <c r="J293" s="112"/>
      <c r="K293" s="112"/>
      <c r="L293" s="112"/>
      <c r="M293" s="112"/>
      <c r="N293" s="112"/>
      <c r="O293" s="112"/>
      <c r="P293" s="112"/>
      <c r="Q293" s="112"/>
      <c r="R293" s="195"/>
      <c r="S293" s="759"/>
      <c r="T293" s="820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</row>
    <row r="294" spans="1:114" ht="13.8" thickBot="1">
      <c r="A294" s="761" t="str">
        <f>'PLANILHA '!A97</f>
        <v>5.12</v>
      </c>
      <c r="B294" s="762" t="str">
        <f>'PLANILHA '!D97</f>
        <v>Pintura impermeabilizante com igolflex ou equivalente a 3 demãos</v>
      </c>
      <c r="C294" s="783"/>
      <c r="D294" s="783"/>
      <c r="E294" s="783"/>
      <c r="F294" s="783"/>
      <c r="G294" s="783"/>
      <c r="H294" s="783"/>
      <c r="I294" s="783"/>
      <c r="J294" s="783"/>
      <c r="K294" s="783"/>
      <c r="L294" s="783"/>
      <c r="M294" s="783"/>
      <c r="N294" s="783"/>
      <c r="O294" s="783"/>
      <c r="P294" s="783"/>
      <c r="Q294" s="783"/>
      <c r="R294" s="784"/>
      <c r="S294" s="787" t="str">
        <f>'PLANILHA '!E97</f>
        <v>m²</v>
      </c>
      <c r="T294" s="819">
        <f>SUM(R295:R299)</f>
        <v>114.5</v>
      </c>
      <c r="U294" s="84">
        <f>T294</f>
        <v>114.5</v>
      </c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</row>
    <row r="295" spans="1:114">
      <c r="A295" s="755"/>
      <c r="B295" s="108" t="s">
        <v>375</v>
      </c>
      <c r="C295" s="104"/>
      <c r="D295" s="121">
        <v>8</v>
      </c>
      <c r="E295" s="104"/>
      <c r="F295" s="118"/>
      <c r="G295" s="104"/>
      <c r="H295" s="104"/>
      <c r="I295" s="104"/>
      <c r="J295" s="104"/>
      <c r="K295" s="104"/>
      <c r="L295" s="104"/>
      <c r="M295" s="104"/>
      <c r="N295" s="104"/>
      <c r="O295" s="112">
        <v>1.45</v>
      </c>
      <c r="P295" s="104"/>
      <c r="Q295" s="104"/>
      <c r="R295" s="121">
        <f>O295*D295</f>
        <v>11.6</v>
      </c>
      <c r="S295" s="759"/>
      <c r="T295" s="820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</row>
    <row r="296" spans="1:114">
      <c r="A296" s="755"/>
      <c r="B296" s="108" t="s">
        <v>376</v>
      </c>
      <c r="C296" s="104"/>
      <c r="D296" s="121">
        <v>2</v>
      </c>
      <c r="E296" s="104"/>
      <c r="F296" s="118"/>
      <c r="G296" s="118">
        <f>G291</f>
        <v>7</v>
      </c>
      <c r="H296" s="104">
        <v>3</v>
      </c>
      <c r="I296" s="104"/>
      <c r="J296" s="104"/>
      <c r="K296" s="104"/>
      <c r="L296" s="104"/>
      <c r="M296" s="104"/>
      <c r="N296" s="104"/>
      <c r="O296" s="104">
        <f>G296*H296</f>
        <v>21</v>
      </c>
      <c r="P296" s="104"/>
      <c r="Q296" s="104"/>
      <c r="R296" s="121">
        <f>O296*D296</f>
        <v>42</v>
      </c>
      <c r="S296" s="759"/>
      <c r="T296" s="820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</row>
    <row r="297" spans="1:114">
      <c r="A297" s="755"/>
      <c r="B297" s="108" t="s">
        <v>377</v>
      </c>
      <c r="C297" s="104"/>
      <c r="D297" s="121">
        <v>2</v>
      </c>
      <c r="E297" s="104"/>
      <c r="F297" s="118"/>
      <c r="G297" s="118">
        <f>G292</f>
        <v>7</v>
      </c>
      <c r="H297" s="104">
        <v>4.0999999999999996</v>
      </c>
      <c r="I297" s="104"/>
      <c r="J297" s="104"/>
      <c r="K297" s="104"/>
      <c r="L297" s="104"/>
      <c r="M297" s="104"/>
      <c r="N297" s="104"/>
      <c r="O297" s="104">
        <f>G297*H297</f>
        <v>28.699999999999996</v>
      </c>
      <c r="P297" s="104"/>
      <c r="Q297" s="104"/>
      <c r="R297" s="121">
        <f>D297*O297</f>
        <v>57.399999999999991</v>
      </c>
      <c r="S297" s="759"/>
      <c r="T297" s="820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</row>
    <row r="298" spans="1:114">
      <c r="A298" s="755"/>
      <c r="B298" s="184" t="s">
        <v>378</v>
      </c>
      <c r="C298" s="112"/>
      <c r="D298" s="195">
        <v>2</v>
      </c>
      <c r="E298" s="112"/>
      <c r="F298" s="122">
        <v>7</v>
      </c>
      <c r="G298" s="112">
        <v>0.25</v>
      </c>
      <c r="H298" s="112"/>
      <c r="I298" s="112"/>
      <c r="J298" s="112"/>
      <c r="K298" s="112"/>
      <c r="L298" s="112"/>
      <c r="M298" s="112"/>
      <c r="N298" s="112"/>
      <c r="O298" s="112">
        <f>G298*F298</f>
        <v>1.75</v>
      </c>
      <c r="P298" s="112"/>
      <c r="Q298" s="112"/>
      <c r="R298" s="195">
        <f>O298*D298</f>
        <v>3.5</v>
      </c>
      <c r="S298" s="759"/>
      <c r="T298" s="820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</row>
    <row r="299" spans="1:114" ht="13.8" thickBot="1">
      <c r="A299" s="773"/>
      <c r="B299" s="127"/>
      <c r="C299" s="113"/>
      <c r="D299" s="232"/>
      <c r="E299" s="113"/>
      <c r="F299" s="128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232"/>
      <c r="S299" s="788"/>
      <c r="T299" s="821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</row>
    <row r="300" spans="1:114" ht="13.8" thickBot="1">
      <c r="A300" s="755" t="str">
        <f>'PLANILHA '!A98</f>
        <v>5.13</v>
      </c>
      <c r="B300" s="791" t="str">
        <f>'PLANILHA '!D98</f>
        <v>Lona plástica preta para isolamento de concretagem sobre solo, fornecimento e colocação</v>
      </c>
      <c r="C300" s="792"/>
      <c r="D300" s="792"/>
      <c r="E300" s="792"/>
      <c r="F300" s="792"/>
      <c r="G300" s="792"/>
      <c r="H300" s="792"/>
      <c r="I300" s="792"/>
      <c r="J300" s="792"/>
      <c r="K300" s="792"/>
      <c r="L300" s="792"/>
      <c r="M300" s="792"/>
      <c r="N300" s="792"/>
      <c r="O300" s="792"/>
      <c r="P300" s="792"/>
      <c r="Q300" s="792"/>
      <c r="R300" s="793"/>
      <c r="S300" s="759" t="str">
        <f>'PLANILHA '!E98</f>
        <v>m²</v>
      </c>
      <c r="T300" s="820">
        <f>SUM(R301:R302)</f>
        <v>21</v>
      </c>
      <c r="U300" s="84">
        <f>T300</f>
        <v>21</v>
      </c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</row>
    <row r="301" spans="1:114">
      <c r="A301" s="755"/>
      <c r="B301" s="184" t="s">
        <v>379</v>
      </c>
      <c r="C301" s="112"/>
      <c r="D301" s="195">
        <v>2</v>
      </c>
      <c r="E301" s="112"/>
      <c r="F301" s="122">
        <v>7</v>
      </c>
      <c r="G301" s="112">
        <v>1.5</v>
      </c>
      <c r="H301" s="112"/>
      <c r="I301" s="112"/>
      <c r="J301" s="112"/>
      <c r="K301" s="112"/>
      <c r="L301" s="112"/>
      <c r="M301" s="112"/>
      <c r="N301" s="112"/>
      <c r="O301" s="112"/>
      <c r="P301" s="112"/>
      <c r="Q301" s="112"/>
      <c r="R301" s="195">
        <f>G301*F301*D301</f>
        <v>21</v>
      </c>
      <c r="S301" s="759"/>
      <c r="T301" s="820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</row>
    <row r="302" spans="1:114" ht="13.8" thickBot="1">
      <c r="A302" s="773"/>
      <c r="B302" s="184"/>
      <c r="C302" s="112"/>
      <c r="D302" s="195"/>
      <c r="E302" s="112"/>
      <c r="F302" s="122"/>
      <c r="G302" s="112"/>
      <c r="H302" s="112"/>
      <c r="I302" s="112"/>
      <c r="J302" s="112"/>
      <c r="K302" s="112"/>
      <c r="L302" s="112"/>
      <c r="M302" s="112"/>
      <c r="N302" s="112"/>
      <c r="O302" s="112"/>
      <c r="P302" s="112"/>
      <c r="Q302" s="112"/>
      <c r="R302" s="195"/>
      <c r="S302" s="759"/>
      <c r="T302" s="820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</row>
    <row r="303" spans="1:114" ht="13.8" thickBot="1">
      <c r="A303" s="264" t="str">
        <f>'PLANILHA '!A99</f>
        <v>6</v>
      </c>
      <c r="B303" s="265" t="str">
        <f>'PLANILHA '!D99</f>
        <v xml:space="preserve">SINALIZAÇÃO </v>
      </c>
      <c r="C303" s="266"/>
      <c r="D303" s="266"/>
      <c r="E303" s="266"/>
      <c r="F303" s="266"/>
      <c r="G303" s="266"/>
      <c r="H303" s="266"/>
      <c r="I303" s="266"/>
      <c r="J303" s="266"/>
      <c r="K303" s="266"/>
      <c r="L303" s="266"/>
      <c r="M303" s="266"/>
      <c r="N303" s="266"/>
      <c r="O303" s="266"/>
      <c r="P303" s="266"/>
      <c r="Q303" s="266"/>
      <c r="R303" s="266"/>
      <c r="S303" s="266"/>
      <c r="T303" s="267"/>
      <c r="U303" s="75"/>
      <c r="V303" s="22"/>
      <c r="W303" s="22"/>
      <c r="X303" s="76"/>
    </row>
    <row r="304" spans="1:114" ht="13.8" thickBot="1">
      <c r="A304" s="298">
        <f>'PLANILHA '!A100</f>
        <v>6.1</v>
      </c>
      <c r="B304" s="514" t="str">
        <f>'PLANILHA '!D100</f>
        <v>SINALIZAÇÃO PROVISÓRIA</v>
      </c>
      <c r="C304" s="513"/>
      <c r="D304" s="513"/>
      <c r="E304" s="513"/>
      <c r="F304" s="513"/>
      <c r="G304" s="513"/>
      <c r="H304" s="513"/>
      <c r="I304" s="513"/>
      <c r="J304" s="513"/>
      <c r="K304" s="513"/>
      <c r="L304" s="513"/>
      <c r="M304" s="513"/>
      <c r="N304" s="513"/>
      <c r="O304" s="513"/>
      <c r="P304" s="513"/>
      <c r="Q304" s="513"/>
      <c r="R304" s="513"/>
      <c r="S304" s="513"/>
      <c r="T304" s="299"/>
      <c r="U304" s="75"/>
      <c r="V304" s="22"/>
      <c r="W304" s="22"/>
      <c r="X304" s="76"/>
    </row>
    <row r="305" spans="1:24" ht="13.8" thickBot="1">
      <c r="A305" s="794" t="str">
        <f>'PLANILHA '!A101</f>
        <v>6.1.1</v>
      </c>
      <c r="B305" s="762" t="str">
        <f>'PLANILHA '!D101</f>
        <v>Elementos de madeira para sinalização - cavaletes</v>
      </c>
      <c r="C305" s="783"/>
      <c r="D305" s="783"/>
      <c r="E305" s="783"/>
      <c r="F305" s="783"/>
      <c r="G305" s="783"/>
      <c r="H305" s="783"/>
      <c r="I305" s="783"/>
      <c r="J305" s="783"/>
      <c r="K305" s="783"/>
      <c r="L305" s="783"/>
      <c r="M305" s="783"/>
      <c r="N305" s="783"/>
      <c r="O305" s="783"/>
      <c r="P305" s="783"/>
      <c r="Q305" s="783"/>
      <c r="R305" s="784"/>
      <c r="S305" s="777" t="str">
        <f>'PLANILHA '!E101</f>
        <v>und</v>
      </c>
      <c r="T305" s="816">
        <f>SUM(R306:R307)</f>
        <v>6</v>
      </c>
      <c r="U305" s="84">
        <f>T305</f>
        <v>6</v>
      </c>
      <c r="V305" s="22"/>
      <c r="W305" s="22"/>
      <c r="X305" s="76"/>
    </row>
    <row r="306" spans="1:24">
      <c r="A306" s="795"/>
      <c r="B306" s="108"/>
      <c r="C306" s="104"/>
      <c r="D306" s="121">
        <v>6</v>
      </c>
      <c r="E306" s="104"/>
      <c r="F306" s="118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21">
        <f>D306</f>
        <v>6</v>
      </c>
      <c r="S306" s="785"/>
      <c r="T306" s="817"/>
      <c r="U306" s="75"/>
      <c r="V306" s="22"/>
      <c r="W306" s="22"/>
      <c r="X306" s="76"/>
    </row>
    <row r="307" spans="1:24" ht="13.8" thickBot="1">
      <c r="A307" s="796"/>
      <c r="B307" s="127"/>
      <c r="C307" s="113"/>
      <c r="D307" s="113"/>
      <c r="E307" s="113"/>
      <c r="F307" s="128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779"/>
      <c r="T307" s="818"/>
      <c r="U307" s="75"/>
      <c r="V307" s="22"/>
      <c r="W307" s="22"/>
      <c r="X307" s="76"/>
    </row>
    <row r="308" spans="1:24" ht="13.8" thickBot="1">
      <c r="A308" s="794" t="str">
        <f>'PLANILHA '!A102</f>
        <v>6.1.2</v>
      </c>
      <c r="B308" s="762" t="str">
        <f>'PLANILHA '!D102</f>
        <v>Sinalização vertical com chapa em esmalte sintético</v>
      </c>
      <c r="C308" s="783"/>
      <c r="D308" s="783"/>
      <c r="E308" s="783"/>
      <c r="F308" s="783"/>
      <c r="G308" s="783"/>
      <c r="H308" s="783"/>
      <c r="I308" s="783"/>
      <c r="J308" s="783"/>
      <c r="K308" s="783"/>
      <c r="L308" s="783"/>
      <c r="M308" s="783"/>
      <c r="N308" s="783"/>
      <c r="O308" s="783"/>
      <c r="P308" s="783"/>
      <c r="Q308" s="783"/>
      <c r="R308" s="784"/>
      <c r="S308" s="777" t="str">
        <f>'PLANILHA '!E102</f>
        <v>m²</v>
      </c>
      <c r="T308" s="816">
        <f>SUM(R309:R310)</f>
        <v>32</v>
      </c>
      <c r="U308" s="84">
        <f>T308</f>
        <v>32</v>
      </c>
      <c r="V308" s="22"/>
      <c r="W308" s="22"/>
      <c r="X308" s="76"/>
    </row>
    <row r="309" spans="1:24">
      <c r="A309" s="795"/>
      <c r="B309" s="108"/>
      <c r="C309" s="104"/>
      <c r="D309" s="121"/>
      <c r="E309" s="104"/>
      <c r="F309" s="118"/>
      <c r="G309" s="104"/>
      <c r="H309" s="104"/>
      <c r="I309" s="104"/>
      <c r="J309" s="104"/>
      <c r="K309" s="104"/>
      <c r="L309" s="104"/>
      <c r="M309" s="104"/>
      <c r="N309" s="104"/>
      <c r="O309" s="104">
        <v>32</v>
      </c>
      <c r="P309" s="104"/>
      <c r="Q309" s="104"/>
      <c r="R309" s="121">
        <f>O309</f>
        <v>32</v>
      </c>
      <c r="S309" s="785"/>
      <c r="T309" s="817"/>
      <c r="U309" s="75"/>
      <c r="V309" s="22"/>
      <c r="W309" s="22"/>
      <c r="X309" s="76"/>
    </row>
    <row r="310" spans="1:24" ht="13.8" thickBot="1">
      <c r="A310" s="796"/>
      <c r="B310" s="127"/>
      <c r="C310" s="113"/>
      <c r="D310" s="113"/>
      <c r="E310" s="113"/>
      <c r="F310" s="128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779"/>
      <c r="T310" s="818"/>
      <c r="U310" s="75"/>
      <c r="V310" s="22"/>
      <c r="W310" s="22"/>
      <c r="X310" s="76"/>
    </row>
    <row r="311" spans="1:24" ht="13.8" thickBot="1">
      <c r="A311" s="794" t="str">
        <f>'PLANILHA '!A103</f>
        <v>6.1.3</v>
      </c>
      <c r="B311" s="762" t="str">
        <f>'PLANILHA '!D103</f>
        <v>Tela de proteção de segurança de PVC cor laranja com suporte para sinalização de obras</v>
      </c>
      <c r="C311" s="783"/>
      <c r="D311" s="783"/>
      <c r="E311" s="783"/>
      <c r="F311" s="783"/>
      <c r="G311" s="783"/>
      <c r="H311" s="783"/>
      <c r="I311" s="783"/>
      <c r="J311" s="783"/>
      <c r="K311" s="783"/>
      <c r="L311" s="783"/>
      <c r="M311" s="783"/>
      <c r="N311" s="783"/>
      <c r="O311" s="783"/>
      <c r="P311" s="783"/>
      <c r="Q311" s="783"/>
      <c r="R311" s="784"/>
      <c r="S311" s="777" t="str">
        <f>'PLANILHA '!E103</f>
        <v>m</v>
      </c>
      <c r="T311" s="816">
        <f>SUM(R312:R313)</f>
        <v>200</v>
      </c>
      <c r="U311" s="84">
        <f>T311</f>
        <v>200</v>
      </c>
      <c r="V311" s="22"/>
      <c r="W311" s="22"/>
      <c r="X311" s="76"/>
    </row>
    <row r="312" spans="1:24">
      <c r="A312" s="795"/>
      <c r="B312" s="108"/>
      <c r="C312" s="104"/>
      <c r="D312" s="121"/>
      <c r="E312" s="104"/>
      <c r="F312" s="118">
        <v>200</v>
      </c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21">
        <f>F312</f>
        <v>200</v>
      </c>
      <c r="S312" s="785"/>
      <c r="T312" s="817"/>
      <c r="U312" s="75"/>
      <c r="V312" s="22"/>
      <c r="W312" s="22"/>
      <c r="X312" s="76"/>
    </row>
    <row r="313" spans="1:24" ht="13.8" thickBot="1">
      <c r="A313" s="796"/>
      <c r="B313" s="127"/>
      <c r="C313" s="113"/>
      <c r="D313" s="113"/>
      <c r="E313" s="113"/>
      <c r="F313" s="128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779"/>
      <c r="T313" s="818"/>
      <c r="U313" s="75"/>
      <c r="V313" s="22"/>
      <c r="W313" s="22"/>
      <c r="X313" s="76"/>
    </row>
    <row r="314" spans="1:24" ht="13.8" thickBot="1">
      <c r="A314" s="794" t="str">
        <f>'PLANILHA '!A104</f>
        <v>6.1.4</v>
      </c>
      <c r="B314" s="762" t="str">
        <f>'PLANILHA '!D104</f>
        <v>Sinalização noturna ( fio com lâmpada e balde ), fornecimento e instalação</v>
      </c>
      <c r="C314" s="783"/>
      <c r="D314" s="783"/>
      <c r="E314" s="783"/>
      <c r="F314" s="783"/>
      <c r="G314" s="783"/>
      <c r="H314" s="783"/>
      <c r="I314" s="783"/>
      <c r="J314" s="783"/>
      <c r="K314" s="783"/>
      <c r="L314" s="783"/>
      <c r="M314" s="783"/>
      <c r="N314" s="783"/>
      <c r="O314" s="783"/>
      <c r="P314" s="783"/>
      <c r="Q314" s="783"/>
      <c r="R314" s="784"/>
      <c r="S314" s="777" t="str">
        <f>'PLANILHA '!E104</f>
        <v>m</v>
      </c>
      <c r="T314" s="816">
        <f>SUM(R315:R316)</f>
        <v>200</v>
      </c>
      <c r="U314" s="84">
        <f>T314</f>
        <v>200</v>
      </c>
      <c r="V314" s="22"/>
      <c r="W314" s="22"/>
      <c r="X314" s="76"/>
    </row>
    <row r="315" spans="1:24">
      <c r="A315" s="795"/>
      <c r="B315" s="108"/>
      <c r="C315" s="104"/>
      <c r="D315" s="121"/>
      <c r="E315" s="104"/>
      <c r="F315" s="118">
        <v>200</v>
      </c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21">
        <f>F315</f>
        <v>200</v>
      </c>
      <c r="S315" s="785"/>
      <c r="T315" s="817"/>
      <c r="U315" s="75"/>
      <c r="V315" s="22"/>
      <c r="W315" s="22"/>
      <c r="X315" s="76"/>
    </row>
    <row r="316" spans="1:24" ht="13.8" thickBot="1">
      <c r="A316" s="796"/>
      <c r="B316" s="127"/>
      <c r="C316" s="113"/>
      <c r="D316" s="113"/>
      <c r="E316" s="113"/>
      <c r="F316" s="128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779"/>
      <c r="T316" s="818"/>
      <c r="U316" s="75"/>
      <c r="V316" s="22"/>
      <c r="W316" s="22"/>
      <c r="X316" s="76"/>
    </row>
    <row r="317" spans="1:24" ht="13.8" thickBot="1">
      <c r="A317" s="298">
        <f>'PLANILHA '!A105</f>
        <v>6.2</v>
      </c>
      <c r="B317" s="514" t="str">
        <f>'PLANILHA '!D105</f>
        <v>SINALIZAÇÃO DEFINITIVA</v>
      </c>
      <c r="C317" s="513"/>
      <c r="D317" s="513"/>
      <c r="E317" s="513"/>
      <c r="F317" s="513"/>
      <c r="G317" s="513"/>
      <c r="H317" s="513"/>
      <c r="I317" s="513"/>
      <c r="J317" s="513"/>
      <c r="K317" s="513"/>
      <c r="L317" s="513"/>
      <c r="M317" s="513"/>
      <c r="N317" s="513"/>
      <c r="O317" s="513"/>
      <c r="P317" s="513"/>
      <c r="Q317" s="513"/>
      <c r="R317" s="513"/>
      <c r="S317" s="513"/>
      <c r="T317" s="299"/>
      <c r="U317" s="75"/>
      <c r="V317" s="22"/>
      <c r="W317" s="22"/>
      <c r="X317" s="76"/>
    </row>
    <row r="318" spans="1:24" ht="13.8" thickBot="1">
      <c r="A318" s="794" t="str">
        <f>'PLANILHA '!A106</f>
        <v>6.2.1</v>
      </c>
      <c r="B318" s="762" t="str">
        <f>'PLANILHA '!D106</f>
        <v>Sinalização horizontal TMD=600, vida útil 2 a 3 anos, taxa=0,80 L/m²</v>
      </c>
      <c r="C318" s="783"/>
      <c r="D318" s="783"/>
      <c r="E318" s="783"/>
      <c r="F318" s="783"/>
      <c r="G318" s="783"/>
      <c r="H318" s="783"/>
      <c r="I318" s="783"/>
      <c r="J318" s="783"/>
      <c r="K318" s="783"/>
      <c r="L318" s="783"/>
      <c r="M318" s="783"/>
      <c r="N318" s="783"/>
      <c r="O318" s="783"/>
      <c r="P318" s="783"/>
      <c r="Q318" s="783"/>
      <c r="R318" s="784"/>
      <c r="S318" s="777" t="str">
        <f>'PLANILHA '!E106</f>
        <v>m²</v>
      </c>
      <c r="T318" s="816">
        <f>SUM(R319:R320)</f>
        <v>140</v>
      </c>
      <c r="U318" s="84">
        <f>T318</f>
        <v>140</v>
      </c>
      <c r="V318" s="22"/>
      <c r="W318" s="22"/>
      <c r="X318" s="76"/>
    </row>
    <row r="319" spans="1:24">
      <c r="A319" s="795"/>
      <c r="B319" s="108"/>
      <c r="C319" s="104"/>
      <c r="D319" s="121"/>
      <c r="E319" s="104"/>
      <c r="F319" s="118"/>
      <c r="G319" s="104"/>
      <c r="H319" s="104"/>
      <c r="I319" s="104"/>
      <c r="J319" s="104"/>
      <c r="K319" s="104"/>
      <c r="L319" s="104"/>
      <c r="M319" s="104"/>
      <c r="N319" s="104"/>
      <c r="O319" s="104">
        <v>140</v>
      </c>
      <c r="P319" s="104"/>
      <c r="Q319" s="104"/>
      <c r="R319" s="121">
        <f>O319</f>
        <v>140</v>
      </c>
      <c r="S319" s="785"/>
      <c r="T319" s="817"/>
      <c r="U319" s="75"/>
      <c r="V319" s="22"/>
      <c r="W319" s="22"/>
      <c r="X319" s="76"/>
    </row>
    <row r="320" spans="1:24" ht="13.8" thickBot="1">
      <c r="A320" s="796"/>
      <c r="B320" s="127"/>
      <c r="C320" s="113"/>
      <c r="D320" s="113"/>
      <c r="E320" s="113"/>
      <c r="F320" s="128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779"/>
      <c r="T320" s="818"/>
      <c r="U320" s="75"/>
      <c r="V320" s="22"/>
      <c r="W320" s="22"/>
      <c r="X320" s="76"/>
    </row>
    <row r="321" spans="1:24" ht="13.8" thickBot="1">
      <c r="A321" s="794" t="str">
        <f>'PLANILHA '!A107</f>
        <v>6.2.2</v>
      </c>
      <c r="B321" s="762" t="str">
        <f>'PLANILHA '!D107</f>
        <v>Pintura de setas e zebrados em material termoplástico - 5 anos ( por extrusão)</v>
      </c>
      <c r="C321" s="783"/>
      <c r="D321" s="783"/>
      <c r="E321" s="783"/>
      <c r="F321" s="783"/>
      <c r="G321" s="783"/>
      <c r="H321" s="783"/>
      <c r="I321" s="783"/>
      <c r="J321" s="783"/>
      <c r="K321" s="783"/>
      <c r="L321" s="783"/>
      <c r="M321" s="783"/>
      <c r="N321" s="783"/>
      <c r="O321" s="783"/>
      <c r="P321" s="783"/>
      <c r="Q321" s="783"/>
      <c r="R321" s="784"/>
      <c r="S321" s="777" t="str">
        <f>'PLANILHA '!E107</f>
        <v>m²</v>
      </c>
      <c r="T321" s="816">
        <f>SUM(R322:R323)</f>
        <v>160</v>
      </c>
      <c r="U321" s="84">
        <f>T321</f>
        <v>160</v>
      </c>
      <c r="V321" s="22"/>
      <c r="W321" s="22"/>
      <c r="X321" s="76"/>
    </row>
    <row r="322" spans="1:24">
      <c r="A322" s="795"/>
      <c r="B322" s="108"/>
      <c r="C322" s="104"/>
      <c r="D322" s="121"/>
      <c r="E322" s="104"/>
      <c r="F322" s="118"/>
      <c r="G322" s="104"/>
      <c r="H322" s="104"/>
      <c r="I322" s="104"/>
      <c r="J322" s="104"/>
      <c r="K322" s="104"/>
      <c r="L322" s="104"/>
      <c r="M322" s="104"/>
      <c r="N322" s="104"/>
      <c r="O322" s="104">
        <v>160</v>
      </c>
      <c r="P322" s="104"/>
      <c r="Q322" s="104"/>
      <c r="R322" s="121">
        <f>O322</f>
        <v>160</v>
      </c>
      <c r="S322" s="785"/>
      <c r="T322" s="817"/>
      <c r="U322" s="75"/>
      <c r="V322" s="22"/>
      <c r="W322" s="22"/>
      <c r="X322" s="76"/>
    </row>
    <row r="323" spans="1:24" ht="13.8" thickBot="1">
      <c r="A323" s="796"/>
      <c r="B323" s="127"/>
      <c r="C323" s="113"/>
      <c r="D323" s="113"/>
      <c r="E323" s="113"/>
      <c r="F323" s="128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779"/>
      <c r="T323" s="818"/>
      <c r="U323" s="75"/>
      <c r="V323" s="22"/>
      <c r="W323" s="22"/>
      <c r="X323" s="76"/>
    </row>
    <row r="324" spans="1:24" ht="13.8" thickBot="1">
      <c r="A324" s="794" t="str">
        <f>'PLANILHA '!A108</f>
        <v>6.2.3</v>
      </c>
      <c r="B324" s="762" t="str">
        <f>'PLANILHA '!D108</f>
        <v>Sinalização vertical com chapa revestida em película, inclusive suporte em madeira</v>
      </c>
      <c r="C324" s="783"/>
      <c r="D324" s="783"/>
      <c r="E324" s="783"/>
      <c r="F324" s="783"/>
      <c r="G324" s="783"/>
      <c r="H324" s="783"/>
      <c r="I324" s="783"/>
      <c r="J324" s="783"/>
      <c r="K324" s="783"/>
      <c r="L324" s="783"/>
      <c r="M324" s="783"/>
      <c r="N324" s="783"/>
      <c r="O324" s="783"/>
      <c r="P324" s="783"/>
      <c r="Q324" s="783"/>
      <c r="R324" s="784"/>
      <c r="S324" s="777" t="str">
        <f>'PLANILHA '!E108</f>
        <v>m²</v>
      </c>
      <c r="T324" s="816">
        <f>SUM(R325:R326)</f>
        <v>40</v>
      </c>
      <c r="U324" s="84">
        <f>T324</f>
        <v>40</v>
      </c>
      <c r="V324" s="22"/>
      <c r="W324" s="22"/>
      <c r="X324" s="76"/>
    </row>
    <row r="325" spans="1:24">
      <c r="A325" s="795"/>
      <c r="B325" s="108"/>
      <c r="C325" s="104"/>
      <c r="D325" s="121"/>
      <c r="E325" s="104"/>
      <c r="F325" s="118"/>
      <c r="G325" s="104"/>
      <c r="H325" s="104"/>
      <c r="I325" s="104"/>
      <c r="J325" s="104"/>
      <c r="K325" s="104"/>
      <c r="L325" s="104"/>
      <c r="M325" s="104"/>
      <c r="N325" s="104"/>
      <c r="O325" s="104">
        <v>40</v>
      </c>
      <c r="P325" s="104"/>
      <c r="Q325" s="104"/>
      <c r="R325" s="121">
        <f>O325</f>
        <v>40</v>
      </c>
      <c r="S325" s="785"/>
      <c r="T325" s="817"/>
      <c r="U325" s="75"/>
      <c r="V325" s="22"/>
      <c r="W325" s="22"/>
      <c r="X325" s="76"/>
    </row>
    <row r="326" spans="1:24" ht="13.8" thickBot="1">
      <c r="A326" s="796"/>
      <c r="B326" s="127"/>
      <c r="C326" s="113"/>
      <c r="D326" s="113"/>
      <c r="E326" s="113"/>
      <c r="F326" s="128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779"/>
      <c r="T326" s="818"/>
      <c r="U326" s="75"/>
      <c r="V326" s="22"/>
      <c r="W326" s="22"/>
      <c r="X326" s="76"/>
    </row>
    <row r="327" spans="1:24" ht="13.8" thickBot="1">
      <c r="A327" s="794" t="str">
        <f>'PLANILHA '!A109</f>
        <v>6.2.4</v>
      </c>
      <c r="B327" s="762" t="str">
        <f>'PLANILHA '!D109</f>
        <v>Tachão refletivo birrefletorizado, fornecimento e aplicação</v>
      </c>
      <c r="C327" s="783"/>
      <c r="D327" s="783"/>
      <c r="E327" s="783"/>
      <c r="F327" s="783"/>
      <c r="G327" s="783"/>
      <c r="H327" s="783"/>
      <c r="I327" s="783"/>
      <c r="J327" s="783"/>
      <c r="K327" s="783"/>
      <c r="L327" s="783"/>
      <c r="M327" s="783"/>
      <c r="N327" s="783"/>
      <c r="O327" s="783"/>
      <c r="P327" s="783"/>
      <c r="Q327" s="783"/>
      <c r="R327" s="784"/>
      <c r="S327" s="777" t="str">
        <f>'PLANILHA '!E109</f>
        <v>und</v>
      </c>
      <c r="T327" s="816">
        <f>SUM(R328:R329)</f>
        <v>100</v>
      </c>
      <c r="U327" s="84">
        <f>T327</f>
        <v>100</v>
      </c>
      <c r="V327" s="22"/>
      <c r="W327" s="22"/>
      <c r="X327" s="76"/>
    </row>
    <row r="328" spans="1:24">
      <c r="A328" s="795"/>
      <c r="B328" s="108"/>
      <c r="C328" s="104"/>
      <c r="D328" s="121">
        <v>100</v>
      </c>
      <c r="E328" s="104"/>
      <c r="F328" s="118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21">
        <f>D328</f>
        <v>100</v>
      </c>
      <c r="S328" s="785"/>
      <c r="T328" s="817"/>
      <c r="U328" s="75"/>
      <c r="V328" s="22"/>
      <c r="W328" s="22"/>
      <c r="X328" s="76"/>
    </row>
    <row r="329" spans="1:24" ht="13.8" thickBot="1">
      <c r="A329" s="796"/>
      <c r="B329" s="127"/>
      <c r="C329" s="113"/>
      <c r="D329" s="113"/>
      <c r="E329" s="113"/>
      <c r="F329" s="128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779"/>
      <c r="T329" s="818"/>
      <c r="U329" s="75"/>
      <c r="V329" s="22"/>
      <c r="W329" s="22"/>
      <c r="X329" s="76"/>
    </row>
    <row r="330" spans="1:24" ht="26.4">
      <c r="A330" s="297" t="str">
        <f>'PLANILHA '!A110</f>
        <v>7</v>
      </c>
      <c r="B330" s="514" t="str">
        <f>'PLANILHA '!D110</f>
        <v xml:space="preserve">ADMINISTRAÇÃO LOCAL </v>
      </c>
      <c r="C330" s="513"/>
      <c r="D330" s="513"/>
      <c r="E330" s="513"/>
      <c r="F330" s="513"/>
      <c r="G330" s="513"/>
      <c r="H330" s="513"/>
      <c r="I330" s="513"/>
      <c r="J330" s="513"/>
      <c r="K330" s="513"/>
      <c r="L330" s="513"/>
      <c r="M330" s="513"/>
      <c r="N330" s="513"/>
      <c r="O330" s="513"/>
      <c r="P330" s="185"/>
      <c r="Q330" s="185"/>
      <c r="R330" s="262" t="s">
        <v>237</v>
      </c>
      <c r="S330" s="263"/>
      <c r="T330" s="303"/>
      <c r="U330" s="75"/>
      <c r="V330" s="22"/>
      <c r="W330" s="22"/>
      <c r="X330" s="76"/>
    </row>
    <row r="331" spans="1:24">
      <c r="A331" s="813">
        <f>'PLANILHA '!A111</f>
        <v>7.1</v>
      </c>
      <c r="B331" s="196" t="s">
        <v>238</v>
      </c>
      <c r="C331" s="205">
        <v>8</v>
      </c>
      <c r="D331" s="104"/>
      <c r="E331" s="104"/>
      <c r="F331" s="118"/>
      <c r="G331" s="104"/>
      <c r="H331" s="104"/>
      <c r="I331" s="104"/>
      <c r="J331" s="104"/>
      <c r="K331" s="104"/>
      <c r="L331" s="104"/>
      <c r="M331" s="104"/>
      <c r="N331" s="104"/>
      <c r="O331" s="104"/>
      <c r="P331" s="189"/>
      <c r="Q331" s="104"/>
      <c r="R331" s="206">
        <v>16500.3</v>
      </c>
      <c r="S331" s="207">
        <f t="shared" ref="S331:S336" si="5">C331*R331</f>
        <v>132002.4</v>
      </c>
      <c r="T331" s="304" t="s">
        <v>74</v>
      </c>
      <c r="U331" s="75"/>
      <c r="V331" s="22"/>
      <c r="W331" s="22"/>
      <c r="X331" s="76"/>
    </row>
    <row r="332" spans="1:24">
      <c r="A332" s="814"/>
      <c r="B332" s="196" t="s">
        <v>239</v>
      </c>
      <c r="C332" s="205">
        <v>8</v>
      </c>
      <c r="D332" s="104"/>
      <c r="E332" s="104"/>
      <c r="F332" s="118"/>
      <c r="G332" s="104"/>
      <c r="H332" s="104"/>
      <c r="I332" s="104"/>
      <c r="J332" s="104"/>
      <c r="K332" s="104"/>
      <c r="L332" s="104"/>
      <c r="M332" s="104"/>
      <c r="N332" s="104"/>
      <c r="O332" s="104"/>
      <c r="P332" s="189"/>
      <c r="Q332" s="104"/>
      <c r="R332" s="206">
        <v>21091.38</v>
      </c>
      <c r="S332" s="207">
        <f t="shared" si="5"/>
        <v>168731.04</v>
      </c>
      <c r="T332" s="304" t="s">
        <v>74</v>
      </c>
      <c r="U332" s="75"/>
      <c r="V332" s="22"/>
      <c r="W332" s="22"/>
      <c r="X332" s="76"/>
    </row>
    <row r="333" spans="1:24">
      <c r="A333" s="814"/>
      <c r="B333" s="196" t="s">
        <v>240</v>
      </c>
      <c r="C333" s="205">
        <f>((8*21)*16)*1</f>
        <v>2688</v>
      </c>
      <c r="D333" s="104"/>
      <c r="E333" s="104"/>
      <c r="F333" s="118"/>
      <c r="G333" s="104"/>
      <c r="H333" s="104"/>
      <c r="I333" s="104"/>
      <c r="J333" s="104"/>
      <c r="K333" s="104"/>
      <c r="L333" s="104"/>
      <c r="M333" s="104"/>
      <c r="N333" s="104"/>
      <c r="O333" s="104"/>
      <c r="P333" s="189"/>
      <c r="Q333" s="104"/>
      <c r="R333" s="206">
        <v>22.51</v>
      </c>
      <c r="S333" s="207">
        <f t="shared" si="5"/>
        <v>60506.880000000005</v>
      </c>
      <c r="T333" s="304" t="s">
        <v>168</v>
      </c>
      <c r="U333" s="75"/>
      <c r="V333" s="22"/>
      <c r="W333" s="22"/>
      <c r="X333" s="76"/>
    </row>
    <row r="334" spans="1:24">
      <c r="A334" s="814"/>
      <c r="B334" s="196" t="s">
        <v>241</v>
      </c>
      <c r="C334" s="205">
        <f>((8*21)*16)*1</f>
        <v>2688</v>
      </c>
      <c r="D334" s="104"/>
      <c r="E334" s="104"/>
      <c r="F334" s="118"/>
      <c r="G334" s="104"/>
      <c r="H334" s="104"/>
      <c r="I334" s="104"/>
      <c r="J334" s="104"/>
      <c r="K334" s="104"/>
      <c r="L334" s="104"/>
      <c r="M334" s="104"/>
      <c r="N334" s="104"/>
      <c r="O334" s="104"/>
      <c r="P334" s="189"/>
      <c r="Q334" s="104"/>
      <c r="R334" s="206">
        <v>16.43</v>
      </c>
      <c r="S334" s="207">
        <f t="shared" si="5"/>
        <v>44163.839999999997</v>
      </c>
      <c r="T334" s="304" t="s">
        <v>168</v>
      </c>
      <c r="U334" s="75"/>
      <c r="V334" s="22"/>
      <c r="W334" s="22"/>
      <c r="X334" s="76"/>
    </row>
    <row r="335" spans="1:24">
      <c r="A335" s="814"/>
      <c r="B335" s="196" t="s">
        <v>242</v>
      </c>
      <c r="C335" s="205">
        <v>16</v>
      </c>
      <c r="D335" s="104"/>
      <c r="E335" s="104"/>
      <c r="F335" s="118"/>
      <c r="G335" s="104"/>
      <c r="H335" s="104"/>
      <c r="I335" s="104"/>
      <c r="J335" s="104"/>
      <c r="K335" s="104"/>
      <c r="L335" s="104"/>
      <c r="M335" s="104"/>
      <c r="N335" s="104"/>
      <c r="O335" s="104"/>
      <c r="P335" s="189"/>
      <c r="Q335" s="104"/>
      <c r="R335" s="206">
        <v>3307.18</v>
      </c>
      <c r="S335" s="207">
        <f t="shared" si="5"/>
        <v>52914.879999999997</v>
      </c>
      <c r="T335" s="304" t="s">
        <v>74</v>
      </c>
      <c r="U335" s="75"/>
      <c r="V335" s="22"/>
      <c r="W335" s="22"/>
      <c r="X335" s="76"/>
    </row>
    <row r="336" spans="1:24">
      <c r="A336" s="815"/>
      <c r="B336" s="196" t="s">
        <v>243</v>
      </c>
      <c r="C336" s="205">
        <f>((24*30)*16)*2</f>
        <v>23040</v>
      </c>
      <c r="D336" s="104"/>
      <c r="E336" s="104"/>
      <c r="F336" s="118"/>
      <c r="G336" s="104"/>
      <c r="H336" s="104"/>
      <c r="I336" s="104"/>
      <c r="J336" s="104"/>
      <c r="K336" s="104"/>
      <c r="L336" s="104"/>
      <c r="M336" s="104"/>
      <c r="N336" s="104"/>
      <c r="O336" s="104"/>
      <c r="P336" s="189"/>
      <c r="Q336" s="104"/>
      <c r="R336" s="206">
        <v>9.9600000000000009</v>
      </c>
      <c r="S336" s="207">
        <f t="shared" si="5"/>
        <v>229478.40000000002</v>
      </c>
      <c r="T336" s="304" t="s">
        <v>168</v>
      </c>
      <c r="U336" s="75"/>
      <c r="V336" s="22"/>
      <c r="W336" s="22"/>
      <c r="X336" s="76"/>
    </row>
    <row r="337" spans="1:24" ht="13.8" thickBot="1">
      <c r="A337" s="305"/>
      <c r="B337" s="127"/>
      <c r="C337" s="113"/>
      <c r="D337" s="113"/>
      <c r="E337" s="113"/>
      <c r="F337" s="128"/>
      <c r="G337" s="113"/>
      <c r="H337" s="113"/>
      <c r="I337" s="113"/>
      <c r="J337" s="113"/>
      <c r="K337" s="113"/>
      <c r="L337" s="113"/>
      <c r="M337" s="113"/>
      <c r="N337" s="113"/>
      <c r="O337" s="113"/>
      <c r="P337" s="306"/>
      <c r="Q337" s="113"/>
      <c r="R337" s="307" t="s">
        <v>10</v>
      </c>
      <c r="S337" s="308">
        <f>S331+S332+S333+S334+S335+S336</f>
        <v>687797.44000000006</v>
      </c>
      <c r="T337" s="309">
        <f>SUM(S331:S336)</f>
        <v>687797.44000000006</v>
      </c>
      <c r="U337" s="75"/>
      <c r="V337" s="22"/>
      <c r="W337" s="22"/>
      <c r="X337" s="76"/>
    </row>
    <row r="338" spans="1:24"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</row>
  </sheetData>
  <sheetProtection selectLockedCells="1"/>
  <mergeCells count="356">
    <mergeCell ref="A46:A49"/>
    <mergeCell ref="A50:A52"/>
    <mergeCell ref="A35:A37"/>
    <mergeCell ref="A38:A45"/>
    <mergeCell ref="A32:A34"/>
    <mergeCell ref="A29:A31"/>
    <mergeCell ref="A26:A28"/>
    <mergeCell ref="A22:A25"/>
    <mergeCell ref="A19:A21"/>
    <mergeCell ref="A191:A193"/>
    <mergeCell ref="A188:A190"/>
    <mergeCell ref="A185:A187"/>
    <mergeCell ref="A175:A178"/>
    <mergeCell ref="A171:A174"/>
    <mergeCell ref="A221:A224"/>
    <mergeCell ref="A217:A220"/>
    <mergeCell ref="A214:A216"/>
    <mergeCell ref="A211:A213"/>
    <mergeCell ref="A208:A210"/>
    <mergeCell ref="A205:A207"/>
    <mergeCell ref="A201:A204"/>
    <mergeCell ref="A197:A199"/>
    <mergeCell ref="A194:A196"/>
    <mergeCell ref="A179:A181"/>
    <mergeCell ref="A182:A184"/>
    <mergeCell ref="B271:R271"/>
    <mergeCell ref="B274:R274"/>
    <mergeCell ref="B277:R277"/>
    <mergeCell ref="B280:R280"/>
    <mergeCell ref="B217:R217"/>
    <mergeCell ref="A300:A302"/>
    <mergeCell ref="A294:A299"/>
    <mergeCell ref="A289:A293"/>
    <mergeCell ref="A286:A288"/>
    <mergeCell ref="A283:A285"/>
    <mergeCell ref="A280:A282"/>
    <mergeCell ref="A277:A279"/>
    <mergeCell ref="A274:A276"/>
    <mergeCell ref="A271:A273"/>
    <mergeCell ref="A237:A239"/>
    <mergeCell ref="A233:A236"/>
    <mergeCell ref="A229:A232"/>
    <mergeCell ref="A225:A228"/>
    <mergeCell ref="B283:R283"/>
    <mergeCell ref="B286:R286"/>
    <mergeCell ref="B289:R289"/>
    <mergeCell ref="B294:R294"/>
    <mergeCell ref="B300:R300"/>
    <mergeCell ref="B247:R247"/>
    <mergeCell ref="B225:R225"/>
    <mergeCell ref="A268:A270"/>
    <mergeCell ref="A265:A267"/>
    <mergeCell ref="A262:A264"/>
    <mergeCell ref="A259:A261"/>
    <mergeCell ref="A254:A257"/>
    <mergeCell ref="A251:A253"/>
    <mergeCell ref="A247:A250"/>
    <mergeCell ref="A243:A246"/>
    <mergeCell ref="A240:A242"/>
    <mergeCell ref="B259:R259"/>
    <mergeCell ref="B262:R262"/>
    <mergeCell ref="B265:R265"/>
    <mergeCell ref="B268:R268"/>
    <mergeCell ref="T294:T299"/>
    <mergeCell ref="S294:S299"/>
    <mergeCell ref="S300:S302"/>
    <mergeCell ref="T300:T302"/>
    <mergeCell ref="S283:S285"/>
    <mergeCell ref="T283:T285"/>
    <mergeCell ref="S286:S288"/>
    <mergeCell ref="T286:T288"/>
    <mergeCell ref="S289:S293"/>
    <mergeCell ref="T289:T293"/>
    <mergeCell ref="S271:S273"/>
    <mergeCell ref="T271:T273"/>
    <mergeCell ref="S274:S276"/>
    <mergeCell ref="T274:T276"/>
    <mergeCell ref="S277:S279"/>
    <mergeCell ref="T277:T279"/>
    <mergeCell ref="S280:S282"/>
    <mergeCell ref="T280:T282"/>
    <mergeCell ref="T247:T250"/>
    <mergeCell ref="S247:S250"/>
    <mergeCell ref="S254:S257"/>
    <mergeCell ref="T254:T257"/>
    <mergeCell ref="S259:S261"/>
    <mergeCell ref="T259:T261"/>
    <mergeCell ref="S262:S264"/>
    <mergeCell ref="T262:T264"/>
    <mergeCell ref="T265:T267"/>
    <mergeCell ref="S265:S267"/>
    <mergeCell ref="S268:S270"/>
    <mergeCell ref="T268:T270"/>
    <mergeCell ref="S225:S228"/>
    <mergeCell ref="T225:T228"/>
    <mergeCell ref="B254:R254"/>
    <mergeCell ref="B188:R188"/>
    <mergeCell ref="S188:S190"/>
    <mergeCell ref="T188:T190"/>
    <mergeCell ref="B233:R233"/>
    <mergeCell ref="B237:R237"/>
    <mergeCell ref="B240:R240"/>
    <mergeCell ref="S240:S242"/>
    <mergeCell ref="S237:S239"/>
    <mergeCell ref="B251:R251"/>
    <mergeCell ref="T221:T224"/>
    <mergeCell ref="B243:R243"/>
    <mergeCell ref="S243:S246"/>
    <mergeCell ref="T229:T232"/>
    <mergeCell ref="T233:T236"/>
    <mergeCell ref="B221:R221"/>
    <mergeCell ref="B229:R229"/>
    <mergeCell ref="S221:S224"/>
    <mergeCell ref="T251:T253"/>
    <mergeCell ref="T237:T239"/>
    <mergeCell ref="T243:T246"/>
    <mergeCell ref="T240:T242"/>
    <mergeCell ref="A327:A329"/>
    <mergeCell ref="B327:R327"/>
    <mergeCell ref="S327:S329"/>
    <mergeCell ref="T327:T329"/>
    <mergeCell ref="T308:T310"/>
    <mergeCell ref="A311:A313"/>
    <mergeCell ref="B311:R311"/>
    <mergeCell ref="S311:S313"/>
    <mergeCell ref="T311:T313"/>
    <mergeCell ref="A314:A316"/>
    <mergeCell ref="B314:R314"/>
    <mergeCell ref="S314:S316"/>
    <mergeCell ref="T314:T316"/>
    <mergeCell ref="A331:A336"/>
    <mergeCell ref="T150:T153"/>
    <mergeCell ref="T154:T159"/>
    <mergeCell ref="T191:T193"/>
    <mergeCell ref="T194:T196"/>
    <mergeCell ref="A318:A320"/>
    <mergeCell ref="B318:R318"/>
    <mergeCell ref="S318:S320"/>
    <mergeCell ref="T318:T320"/>
    <mergeCell ref="A321:A323"/>
    <mergeCell ref="B321:R321"/>
    <mergeCell ref="S321:S323"/>
    <mergeCell ref="T321:T323"/>
    <mergeCell ref="A324:A326"/>
    <mergeCell ref="B324:R324"/>
    <mergeCell ref="S324:S326"/>
    <mergeCell ref="T324:T326"/>
    <mergeCell ref="A305:A307"/>
    <mergeCell ref="B305:R305"/>
    <mergeCell ref="S305:S307"/>
    <mergeCell ref="T305:T307"/>
    <mergeCell ref="A308:A310"/>
    <mergeCell ref="B308:R308"/>
    <mergeCell ref="S308:S310"/>
    <mergeCell ref="A129:A132"/>
    <mergeCell ref="A122:A125"/>
    <mergeCell ref="A126:A128"/>
    <mergeCell ref="A115:A117"/>
    <mergeCell ref="A111:A114"/>
    <mergeCell ref="A107:A110"/>
    <mergeCell ref="A103:A106"/>
    <mergeCell ref="A100:A102"/>
    <mergeCell ref="T71:T73"/>
    <mergeCell ref="B74:R74"/>
    <mergeCell ref="S74:S77"/>
    <mergeCell ref="T74:T77"/>
    <mergeCell ref="B78:R78"/>
    <mergeCell ref="S78:S80"/>
    <mergeCell ref="T78:T80"/>
    <mergeCell ref="B85:G85"/>
    <mergeCell ref="S103:S106"/>
    <mergeCell ref="B71:R71"/>
    <mergeCell ref="S71:S73"/>
    <mergeCell ref="T86:T92"/>
    <mergeCell ref="S86:S92"/>
    <mergeCell ref="B86:R86"/>
    <mergeCell ref="T93:T99"/>
    <mergeCell ref="T103:T106"/>
    <mergeCell ref="B62:R62"/>
    <mergeCell ref="S62:S64"/>
    <mergeCell ref="T62:T64"/>
    <mergeCell ref="B65:R65"/>
    <mergeCell ref="S65:S67"/>
    <mergeCell ref="T65:T67"/>
    <mergeCell ref="B68:R68"/>
    <mergeCell ref="S68:S70"/>
    <mergeCell ref="T68:T70"/>
    <mergeCell ref="B6:F6"/>
    <mergeCell ref="T16:T18"/>
    <mergeCell ref="S19:S21"/>
    <mergeCell ref="S16:S18"/>
    <mergeCell ref="S22:S25"/>
    <mergeCell ref="T22:T25"/>
    <mergeCell ref="S32:S34"/>
    <mergeCell ref="T32:T34"/>
    <mergeCell ref="T26:T28"/>
    <mergeCell ref="B22:R22"/>
    <mergeCell ref="B29:R29"/>
    <mergeCell ref="S26:S28"/>
    <mergeCell ref="B16:R16"/>
    <mergeCell ref="A16:A18"/>
    <mergeCell ref="A9:A11"/>
    <mergeCell ref="B9:R9"/>
    <mergeCell ref="S9:S11"/>
    <mergeCell ref="T9:T11"/>
    <mergeCell ref="A12:A14"/>
    <mergeCell ref="B12:R12"/>
    <mergeCell ref="S12:S14"/>
    <mergeCell ref="T38:T45"/>
    <mergeCell ref="V7:X15"/>
    <mergeCell ref="B19:R19"/>
    <mergeCell ref="T19:T21"/>
    <mergeCell ref="S35:S37"/>
    <mergeCell ref="T35:T37"/>
    <mergeCell ref="S29:S31"/>
    <mergeCell ref="B38:R38"/>
    <mergeCell ref="S38:S45"/>
    <mergeCell ref="B26:R26"/>
    <mergeCell ref="T29:T31"/>
    <mergeCell ref="B32:R32"/>
    <mergeCell ref="B35:R35"/>
    <mergeCell ref="T12:T14"/>
    <mergeCell ref="B59:R59"/>
    <mergeCell ref="S59:S61"/>
    <mergeCell ref="T59:T61"/>
    <mergeCell ref="B46:R46"/>
    <mergeCell ref="S53:S55"/>
    <mergeCell ref="T53:T55"/>
    <mergeCell ref="S56:S58"/>
    <mergeCell ref="T56:T58"/>
    <mergeCell ref="B53:R53"/>
    <mergeCell ref="B56:R56"/>
    <mergeCell ref="B50:R50"/>
    <mergeCell ref="S46:S49"/>
    <mergeCell ref="T46:T49"/>
    <mergeCell ref="S50:S52"/>
    <mergeCell ref="T50:T52"/>
    <mergeCell ref="A137:A139"/>
    <mergeCell ref="A133:A136"/>
    <mergeCell ref="S229:S232"/>
    <mergeCell ref="S251:S253"/>
    <mergeCell ref="S233:S236"/>
    <mergeCell ref="T126:T128"/>
    <mergeCell ref="B143:R143"/>
    <mergeCell ref="B129:R129"/>
    <mergeCell ref="S143:S145"/>
    <mergeCell ref="T143:T145"/>
    <mergeCell ref="S150:S153"/>
    <mergeCell ref="S154:S159"/>
    <mergeCell ref="S166:S170"/>
    <mergeCell ref="T166:T170"/>
    <mergeCell ref="B126:R126"/>
    <mergeCell ref="T171:T174"/>
    <mergeCell ref="S194:S196"/>
    <mergeCell ref="S175:S178"/>
    <mergeCell ref="T175:T178"/>
    <mergeCell ref="B179:R179"/>
    <mergeCell ref="S179:S181"/>
    <mergeCell ref="T179:T181"/>
    <mergeCell ref="B182:R182"/>
    <mergeCell ref="A160:A165"/>
    <mergeCell ref="B160:R160"/>
    <mergeCell ref="S160:S165"/>
    <mergeCell ref="T160:T165"/>
    <mergeCell ref="B150:R150"/>
    <mergeCell ref="B166:R166"/>
    <mergeCell ref="B140:R140"/>
    <mergeCell ref="A166:A170"/>
    <mergeCell ref="A154:A159"/>
    <mergeCell ref="A150:A153"/>
    <mergeCell ref="A143:A145"/>
    <mergeCell ref="A140:A142"/>
    <mergeCell ref="A146:A148"/>
    <mergeCell ref="S133:S136"/>
    <mergeCell ref="T129:T132"/>
    <mergeCell ref="T122:T125"/>
    <mergeCell ref="T137:T139"/>
    <mergeCell ref="S140:S142"/>
    <mergeCell ref="B115:R115"/>
    <mergeCell ref="S111:S114"/>
    <mergeCell ref="T111:T114"/>
    <mergeCell ref="T115:T117"/>
    <mergeCell ref="T185:T187"/>
    <mergeCell ref="S185:S187"/>
    <mergeCell ref="B185:R185"/>
    <mergeCell ref="B175:R175"/>
    <mergeCell ref="B191:R191"/>
    <mergeCell ref="S191:S193"/>
    <mergeCell ref="B194:R194"/>
    <mergeCell ref="B122:R122"/>
    <mergeCell ref="B133:R133"/>
    <mergeCell ref="B137:R137"/>
    <mergeCell ref="S126:S128"/>
    <mergeCell ref="B171:R171"/>
    <mergeCell ref="S171:S174"/>
    <mergeCell ref="B154:R154"/>
    <mergeCell ref="S182:S184"/>
    <mergeCell ref="T182:T184"/>
    <mergeCell ref="B146:R146"/>
    <mergeCell ref="S146:S148"/>
    <mergeCell ref="T146:T148"/>
    <mergeCell ref="S122:S125"/>
    <mergeCell ref="S129:S132"/>
    <mergeCell ref="S137:S139"/>
    <mergeCell ref="T140:T142"/>
    <mergeCell ref="T133:T136"/>
    <mergeCell ref="B197:R197"/>
    <mergeCell ref="S197:S199"/>
    <mergeCell ref="T197:T199"/>
    <mergeCell ref="S217:S220"/>
    <mergeCell ref="T217:T220"/>
    <mergeCell ref="B201:R201"/>
    <mergeCell ref="S201:S204"/>
    <mergeCell ref="T201:T204"/>
    <mergeCell ref="B205:R205"/>
    <mergeCell ref="S205:S207"/>
    <mergeCell ref="T205:T207"/>
    <mergeCell ref="B208:R208"/>
    <mergeCell ref="B211:R211"/>
    <mergeCell ref="B214:R214"/>
    <mergeCell ref="T208:T210"/>
    <mergeCell ref="S208:S210"/>
    <mergeCell ref="S211:S213"/>
    <mergeCell ref="T211:T213"/>
    <mergeCell ref="S214:S216"/>
    <mergeCell ref="T214:T216"/>
    <mergeCell ref="A78:A80"/>
    <mergeCell ref="A74:A77"/>
    <mergeCell ref="A71:A73"/>
    <mergeCell ref="A68:A70"/>
    <mergeCell ref="A65:A67"/>
    <mergeCell ref="A62:A64"/>
    <mergeCell ref="A59:A61"/>
    <mergeCell ref="A56:A58"/>
    <mergeCell ref="A53:A55"/>
    <mergeCell ref="A81:A83"/>
    <mergeCell ref="B81:R81"/>
    <mergeCell ref="S81:S83"/>
    <mergeCell ref="T81:T83"/>
    <mergeCell ref="A118:A120"/>
    <mergeCell ref="B118:R118"/>
    <mergeCell ref="T118:T120"/>
    <mergeCell ref="S115:S117"/>
    <mergeCell ref="S118:S120"/>
    <mergeCell ref="B111:R111"/>
    <mergeCell ref="B107:R107"/>
    <mergeCell ref="T107:T110"/>
    <mergeCell ref="S107:S110"/>
    <mergeCell ref="B93:R93"/>
    <mergeCell ref="S100:S102"/>
    <mergeCell ref="T100:T102"/>
    <mergeCell ref="S93:S99"/>
    <mergeCell ref="B103:R103"/>
    <mergeCell ref="B100:R100"/>
    <mergeCell ref="A93:A99"/>
    <mergeCell ref="A86:A92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249977111117893"/>
    <pageSetUpPr fitToPage="1"/>
  </sheetPr>
  <dimension ref="A1:W27"/>
  <sheetViews>
    <sheetView showGridLines="0" view="pageBreakPreview" zoomScale="70" zoomScaleNormal="70" zoomScaleSheetLayoutView="70" workbookViewId="0">
      <selection activeCell="B20" sqref="B20:B21"/>
    </sheetView>
  </sheetViews>
  <sheetFormatPr defaultColWidth="10.6640625" defaultRowHeight="15" customHeight="1"/>
  <cols>
    <col min="1" max="1" width="16.6640625" style="4" bestFit="1" customWidth="1"/>
    <col min="2" max="2" width="57.33203125" style="4" customWidth="1"/>
    <col min="3" max="3" width="20.109375" style="4" customWidth="1"/>
    <col min="4" max="4" width="21.5546875" style="4" customWidth="1"/>
    <col min="5" max="6" width="11.33203125" style="4" bestFit="1" customWidth="1"/>
    <col min="7" max="7" width="11.33203125" style="4" customWidth="1"/>
    <col min="8" max="20" width="13" style="4" bestFit="1" customWidth="1"/>
    <col min="21" max="21" width="15.6640625" style="4" customWidth="1"/>
    <col min="22" max="22" width="8.6640625" style="4" customWidth="1"/>
    <col min="23" max="16384" width="10.6640625" style="4"/>
  </cols>
  <sheetData>
    <row r="1" spans="1:23" ht="27" customHeight="1">
      <c r="A1" s="468"/>
      <c r="B1" s="515" t="s">
        <v>12</v>
      </c>
      <c r="C1" s="516"/>
      <c r="D1" s="516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7"/>
      <c r="T1" s="518"/>
    </row>
    <row r="2" spans="1:23" ht="22.95" customHeight="1">
      <c r="A2" s="519" t="str">
        <f>'PLANILHA '!$A$5</f>
        <v xml:space="preserve">OBRA: </v>
      </c>
      <c r="B2" s="520" t="str">
        <f>RESUMO!B3</f>
        <v>O.A.E. PONTE - 71,10 m</v>
      </c>
      <c r="T2" s="521"/>
    </row>
    <row r="3" spans="1:23" ht="21">
      <c r="A3" s="522" t="str">
        <f>'PLANILHA '!$A$6</f>
        <v xml:space="preserve">LOCAL: </v>
      </c>
      <c r="B3" s="523" t="str">
        <f>RESUMO!B4</f>
        <v>PONTE SOBRE O RIO SANTA MARIA DO RIO DOCE, SÃO ROQUE DO CANAÃ-ES</v>
      </c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  <c r="P3" s="524"/>
      <c r="Q3" s="524"/>
      <c r="R3" s="524"/>
      <c r="S3" s="524"/>
      <c r="T3" s="525"/>
    </row>
    <row r="4" spans="1:23" ht="13.2">
      <c r="A4" s="478"/>
      <c r="B4" s="526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Q4" s="527"/>
      <c r="R4" s="527"/>
      <c r="S4" s="527"/>
      <c r="T4" s="528"/>
    </row>
    <row r="5" spans="1:23" s="3" customFormat="1" ht="21" customHeight="1">
      <c r="A5" s="522" t="str">
        <f>RESUMO!A6</f>
        <v xml:space="preserve">ORÇAMENTISTA: </v>
      </c>
      <c r="B5" s="529" t="str">
        <f>RESUMO!B6</f>
        <v>Luiz Araujo de Souza Junior  - CREA: RJ-2021102768/D - Visto 20210452/ES</v>
      </c>
      <c r="C5" s="523"/>
      <c r="D5" s="523"/>
      <c r="E5" s="530"/>
      <c r="F5" s="530"/>
      <c r="G5" s="530"/>
      <c r="H5" s="530"/>
      <c r="I5" s="530"/>
      <c r="J5" s="530"/>
      <c r="K5" s="530"/>
      <c r="L5" s="530"/>
      <c r="M5" s="530"/>
      <c r="N5" s="530"/>
      <c r="O5" s="530"/>
      <c r="P5" s="530"/>
      <c r="Q5" s="530"/>
      <c r="R5" s="530"/>
      <c r="S5" s="530"/>
      <c r="T5" s="531"/>
      <c r="U5" s="4"/>
      <c r="V5" s="4"/>
    </row>
    <row r="6" spans="1:23" ht="24.9" customHeight="1">
      <c r="A6" s="835" t="s">
        <v>2</v>
      </c>
      <c r="B6" s="825" t="s">
        <v>13</v>
      </c>
      <c r="C6" s="826"/>
      <c r="D6" s="842" t="s">
        <v>26</v>
      </c>
      <c r="E6" s="839" t="s">
        <v>14</v>
      </c>
      <c r="F6" s="840"/>
      <c r="G6" s="840"/>
      <c r="H6" s="840"/>
      <c r="I6" s="841"/>
      <c r="J6" s="844" t="s">
        <v>14</v>
      </c>
      <c r="K6" s="845"/>
      <c r="L6" s="845"/>
      <c r="M6" s="845"/>
      <c r="N6" s="845"/>
      <c r="O6" s="845"/>
      <c r="P6" s="845"/>
      <c r="Q6" s="845"/>
      <c r="R6" s="845"/>
      <c r="S6" s="845"/>
      <c r="T6" s="846"/>
      <c r="U6" s="831" t="s">
        <v>31</v>
      </c>
      <c r="V6" s="832"/>
    </row>
    <row r="7" spans="1:23" ht="24.9" customHeight="1">
      <c r="A7" s="836"/>
      <c r="B7" s="827"/>
      <c r="C7" s="828"/>
      <c r="D7" s="843"/>
      <c r="E7" s="78">
        <v>1</v>
      </c>
      <c r="F7" s="78">
        <v>2</v>
      </c>
      <c r="G7" s="78">
        <v>3</v>
      </c>
      <c r="H7" s="78">
        <v>4</v>
      </c>
      <c r="I7" s="78">
        <v>5</v>
      </c>
      <c r="J7" s="78">
        <v>6</v>
      </c>
      <c r="K7" s="78">
        <v>7</v>
      </c>
      <c r="L7" s="78">
        <v>8</v>
      </c>
      <c r="M7" s="78">
        <v>9</v>
      </c>
      <c r="N7" s="78">
        <v>10</v>
      </c>
      <c r="O7" s="78">
        <v>11</v>
      </c>
      <c r="P7" s="78">
        <v>12</v>
      </c>
      <c r="Q7" s="78">
        <v>13</v>
      </c>
      <c r="R7" s="78">
        <v>14</v>
      </c>
      <c r="S7" s="78">
        <v>15</v>
      </c>
      <c r="T7" s="532">
        <v>16</v>
      </c>
      <c r="U7" s="833"/>
      <c r="V7" s="834"/>
    </row>
    <row r="8" spans="1:23" ht="24.9" customHeight="1">
      <c r="A8" s="829" t="str">
        <f>RESUMO!A10</f>
        <v>1</v>
      </c>
      <c r="B8" s="823" t="str">
        <f>RESUMO!B10</f>
        <v>SERVIÇOS PRELIMINARES</v>
      </c>
      <c r="C8" s="23" t="s">
        <v>15</v>
      </c>
      <c r="D8" s="837">
        <f>RESUMO!D10</f>
        <v>287701.69712894002</v>
      </c>
      <c r="E8" s="24">
        <v>0.5</v>
      </c>
      <c r="F8" s="24">
        <v>0.5</v>
      </c>
      <c r="G8" s="439">
        <v>0</v>
      </c>
      <c r="H8" s="439">
        <v>0</v>
      </c>
      <c r="I8" s="439">
        <v>0</v>
      </c>
      <c r="J8" s="439">
        <v>0</v>
      </c>
      <c r="K8" s="439">
        <v>0</v>
      </c>
      <c r="L8" s="439">
        <v>0</v>
      </c>
      <c r="M8" s="439">
        <v>0</v>
      </c>
      <c r="N8" s="439">
        <v>0</v>
      </c>
      <c r="O8" s="439">
        <v>0</v>
      </c>
      <c r="P8" s="439">
        <v>0</v>
      </c>
      <c r="Q8" s="439">
        <v>0</v>
      </c>
      <c r="R8" s="439">
        <v>0</v>
      </c>
      <c r="S8" s="439">
        <v>0</v>
      </c>
      <c r="T8" s="533">
        <v>0</v>
      </c>
      <c r="U8" s="13">
        <f t="shared" ref="U8:U9" si="0">SUM(E8:T8)</f>
        <v>1</v>
      </c>
      <c r="V8" s="6" t="str">
        <f>IF(U8=100%,"Ok!","Verificar!")</f>
        <v>Ok!</v>
      </c>
    </row>
    <row r="9" spans="1:23" ht="24.9" customHeight="1">
      <c r="A9" s="830"/>
      <c r="B9" s="824"/>
      <c r="C9" s="5" t="s">
        <v>16</v>
      </c>
      <c r="D9" s="838"/>
      <c r="E9" s="100">
        <f>+$D$8*E8</f>
        <v>143850.84856447001</v>
      </c>
      <c r="F9" s="100">
        <f>+$D$8*F8</f>
        <v>143850.84856447001</v>
      </c>
      <c r="G9" s="440">
        <f t="shared" ref="G9:T9" si="1">+$D$10*G8</f>
        <v>0</v>
      </c>
      <c r="H9" s="440">
        <f t="shared" si="1"/>
        <v>0</v>
      </c>
      <c r="I9" s="440">
        <f t="shared" si="1"/>
        <v>0</v>
      </c>
      <c r="J9" s="440">
        <f t="shared" si="1"/>
        <v>0</v>
      </c>
      <c r="K9" s="440">
        <f t="shared" si="1"/>
        <v>0</v>
      </c>
      <c r="L9" s="440">
        <f t="shared" si="1"/>
        <v>0</v>
      </c>
      <c r="M9" s="440">
        <f t="shared" si="1"/>
        <v>0</v>
      </c>
      <c r="N9" s="440">
        <f t="shared" si="1"/>
        <v>0</v>
      </c>
      <c r="O9" s="440">
        <f t="shared" si="1"/>
        <v>0</v>
      </c>
      <c r="P9" s="440">
        <f t="shared" si="1"/>
        <v>0</v>
      </c>
      <c r="Q9" s="440">
        <f t="shared" si="1"/>
        <v>0</v>
      </c>
      <c r="R9" s="440">
        <f t="shared" si="1"/>
        <v>0</v>
      </c>
      <c r="S9" s="440">
        <f t="shared" si="1"/>
        <v>0</v>
      </c>
      <c r="T9" s="534">
        <f t="shared" si="1"/>
        <v>0</v>
      </c>
      <c r="U9" s="14">
        <f t="shared" si="0"/>
        <v>287701.69712894002</v>
      </c>
      <c r="V9" s="6" t="str">
        <f>IF(U9=D8,"Ok!","Verificar!")</f>
        <v>Ok!</v>
      </c>
    </row>
    <row r="10" spans="1:23" ht="24.9" customHeight="1">
      <c r="A10" s="829" t="str">
        <f>RESUMO!A12</f>
        <v>2</v>
      </c>
      <c r="B10" s="823" t="str">
        <f>RESUMO!B12</f>
        <v>CANTEIRO DE OBRA</v>
      </c>
      <c r="C10" s="23" t="s">
        <v>15</v>
      </c>
      <c r="D10" s="837">
        <f>RESUMO!D12</f>
        <v>561941.80781318434</v>
      </c>
      <c r="E10" s="24">
        <v>6.25E-2</v>
      </c>
      <c r="F10" s="24">
        <v>6.25E-2</v>
      </c>
      <c r="G10" s="24">
        <v>6.25E-2</v>
      </c>
      <c r="H10" s="24">
        <v>6.25E-2</v>
      </c>
      <c r="I10" s="24">
        <v>6.25E-2</v>
      </c>
      <c r="J10" s="24">
        <v>6.25E-2</v>
      </c>
      <c r="K10" s="24">
        <v>6.25E-2</v>
      </c>
      <c r="L10" s="24">
        <v>6.25E-2</v>
      </c>
      <c r="M10" s="24">
        <v>6.25E-2</v>
      </c>
      <c r="N10" s="24">
        <v>6.25E-2</v>
      </c>
      <c r="O10" s="24">
        <v>6.25E-2</v>
      </c>
      <c r="P10" s="24">
        <v>6.25E-2</v>
      </c>
      <c r="Q10" s="24">
        <v>6.25E-2</v>
      </c>
      <c r="R10" s="24">
        <v>6.25E-2</v>
      </c>
      <c r="S10" s="24">
        <v>6.25E-2</v>
      </c>
      <c r="T10" s="535">
        <v>6.25E-2</v>
      </c>
      <c r="U10" s="13">
        <f t="shared" ref="U10:U21" si="2">SUM(E10:T10)</f>
        <v>1</v>
      </c>
      <c r="V10" s="6" t="str">
        <f>IF(U10=100%,"Ok!","Verificar!")</f>
        <v>Ok!</v>
      </c>
      <c r="W10" s="12">
        <f>SUM(E10:T10)</f>
        <v>1</v>
      </c>
    </row>
    <row r="11" spans="1:23" ht="24.9" customHeight="1">
      <c r="A11" s="830"/>
      <c r="B11" s="824"/>
      <c r="C11" s="5" t="s">
        <v>16</v>
      </c>
      <c r="D11" s="838"/>
      <c r="E11" s="100">
        <f t="shared" ref="E11:T11" si="3">+$D$10*E10</f>
        <v>35121.362988324021</v>
      </c>
      <c r="F11" s="100">
        <f t="shared" si="3"/>
        <v>35121.362988324021</v>
      </c>
      <c r="G11" s="100">
        <f t="shared" si="3"/>
        <v>35121.362988324021</v>
      </c>
      <c r="H11" s="100">
        <f t="shared" si="3"/>
        <v>35121.362988324021</v>
      </c>
      <c r="I11" s="100">
        <f t="shared" si="3"/>
        <v>35121.362988324021</v>
      </c>
      <c r="J11" s="100">
        <f t="shared" si="3"/>
        <v>35121.362988324021</v>
      </c>
      <c r="K11" s="100">
        <f t="shared" si="3"/>
        <v>35121.362988324021</v>
      </c>
      <c r="L11" s="100">
        <f t="shared" si="3"/>
        <v>35121.362988324021</v>
      </c>
      <c r="M11" s="100">
        <f t="shared" si="3"/>
        <v>35121.362988324021</v>
      </c>
      <c r="N11" s="100">
        <f t="shared" si="3"/>
        <v>35121.362988324021</v>
      </c>
      <c r="O11" s="100">
        <f t="shared" si="3"/>
        <v>35121.362988324021</v>
      </c>
      <c r="P11" s="100">
        <f t="shared" si="3"/>
        <v>35121.362988324021</v>
      </c>
      <c r="Q11" s="100">
        <f t="shared" si="3"/>
        <v>35121.362988324021</v>
      </c>
      <c r="R11" s="100">
        <f t="shared" si="3"/>
        <v>35121.362988324021</v>
      </c>
      <c r="S11" s="100">
        <f t="shared" si="3"/>
        <v>35121.362988324021</v>
      </c>
      <c r="T11" s="536">
        <f t="shared" si="3"/>
        <v>35121.362988324021</v>
      </c>
      <c r="U11" s="14">
        <f t="shared" si="2"/>
        <v>561941.80781318434</v>
      </c>
      <c r="V11" s="6" t="str">
        <f>IF(U11=D10,"Ok!","Verificar!")</f>
        <v>Ok!</v>
      </c>
    </row>
    <row r="12" spans="1:23" ht="24.9" customHeight="1">
      <c r="A12" s="855">
        <f>RESUMO!A14</f>
        <v>3</v>
      </c>
      <c r="B12" s="823" t="str">
        <f>RESUMO!B14</f>
        <v>SUPERESTRUTURA PONTE OAE</v>
      </c>
      <c r="C12" s="23" t="s">
        <v>15</v>
      </c>
      <c r="D12" s="837">
        <f>RESUMO!D14</f>
        <v>3752069.1755664148</v>
      </c>
      <c r="E12" s="24">
        <v>0</v>
      </c>
      <c r="F12" s="24">
        <v>0.02</v>
      </c>
      <c r="G12" s="24">
        <v>0.03</v>
      </c>
      <c r="H12" s="24">
        <v>0.05</v>
      </c>
      <c r="I12" s="24">
        <v>0.06</v>
      </c>
      <c r="J12" s="24">
        <v>0.08</v>
      </c>
      <c r="K12" s="24">
        <v>0.1</v>
      </c>
      <c r="L12" s="24">
        <v>0.1</v>
      </c>
      <c r="M12" s="24">
        <v>0.1</v>
      </c>
      <c r="N12" s="24">
        <v>0.08</v>
      </c>
      <c r="O12" s="24">
        <v>0.08</v>
      </c>
      <c r="P12" s="24">
        <v>0.08</v>
      </c>
      <c r="Q12" s="24">
        <v>7.0000000000000007E-2</v>
      </c>
      <c r="R12" s="24">
        <v>0.05</v>
      </c>
      <c r="S12" s="24">
        <v>0.05</v>
      </c>
      <c r="T12" s="535">
        <v>0.05</v>
      </c>
      <c r="U12" s="13">
        <f t="shared" si="2"/>
        <v>1</v>
      </c>
      <c r="V12" s="6" t="str">
        <f>IF(U12=100%,"Ok!","Verificar!")</f>
        <v>Ok!</v>
      </c>
      <c r="W12" s="12">
        <f>SUM(E12:T12)</f>
        <v>1</v>
      </c>
    </row>
    <row r="13" spans="1:23" ht="24.9" customHeight="1">
      <c r="A13" s="856"/>
      <c r="B13" s="824"/>
      <c r="C13" s="5" t="s">
        <v>16</v>
      </c>
      <c r="D13" s="838"/>
      <c r="E13" s="100">
        <f t="shared" ref="E13:T13" si="4">+$D$12*E12</f>
        <v>0</v>
      </c>
      <c r="F13" s="100">
        <f t="shared" si="4"/>
        <v>75041.383511328298</v>
      </c>
      <c r="G13" s="100">
        <f t="shared" si="4"/>
        <v>112562.07526699244</v>
      </c>
      <c r="H13" s="100">
        <f t="shared" si="4"/>
        <v>187603.45877832075</v>
      </c>
      <c r="I13" s="100">
        <f t="shared" si="4"/>
        <v>225124.15053398488</v>
      </c>
      <c r="J13" s="100">
        <f t="shared" si="4"/>
        <v>300165.53404531319</v>
      </c>
      <c r="K13" s="100">
        <f t="shared" si="4"/>
        <v>375206.91755664151</v>
      </c>
      <c r="L13" s="100">
        <f t="shared" si="4"/>
        <v>375206.91755664151</v>
      </c>
      <c r="M13" s="100">
        <f t="shared" si="4"/>
        <v>375206.91755664151</v>
      </c>
      <c r="N13" s="100">
        <f t="shared" si="4"/>
        <v>300165.53404531319</v>
      </c>
      <c r="O13" s="100">
        <f t="shared" si="4"/>
        <v>300165.53404531319</v>
      </c>
      <c r="P13" s="100">
        <f t="shared" si="4"/>
        <v>300165.53404531319</v>
      </c>
      <c r="Q13" s="100">
        <f t="shared" si="4"/>
        <v>262644.84228964907</v>
      </c>
      <c r="R13" s="100">
        <f t="shared" si="4"/>
        <v>187603.45877832075</v>
      </c>
      <c r="S13" s="100">
        <f t="shared" si="4"/>
        <v>187603.45877832075</v>
      </c>
      <c r="T13" s="536">
        <f t="shared" si="4"/>
        <v>187603.45877832075</v>
      </c>
      <c r="U13" s="14">
        <f t="shared" si="2"/>
        <v>3752069.1755664148</v>
      </c>
      <c r="V13" s="6" t="str">
        <f>IF(U13=D12,"Ok!","Verificar!")</f>
        <v>Ok!</v>
      </c>
    </row>
    <row r="14" spans="1:23" ht="24.9" customHeight="1">
      <c r="A14" s="829" t="str">
        <f>RESUMO!A16</f>
        <v>4</v>
      </c>
      <c r="B14" s="823" t="str">
        <f>RESUMO!B16</f>
        <v>MESOESTRUTURA PONTE OAE</v>
      </c>
      <c r="C14" s="23" t="s">
        <v>15</v>
      </c>
      <c r="D14" s="837">
        <f>RESUMO!D16</f>
        <v>184537.78478017612</v>
      </c>
      <c r="E14" s="24">
        <v>0.05</v>
      </c>
      <c r="F14" s="24">
        <v>0.05</v>
      </c>
      <c r="G14" s="24">
        <v>0.1</v>
      </c>
      <c r="H14" s="24">
        <v>0.1</v>
      </c>
      <c r="I14" s="24">
        <v>0.1</v>
      </c>
      <c r="J14" s="24">
        <v>0.1</v>
      </c>
      <c r="K14" s="24">
        <v>0.1</v>
      </c>
      <c r="L14" s="24">
        <v>0.1</v>
      </c>
      <c r="M14" s="24">
        <v>0.1</v>
      </c>
      <c r="N14" s="24">
        <v>0.1</v>
      </c>
      <c r="O14" s="24">
        <v>0.05</v>
      </c>
      <c r="P14" s="24">
        <v>0.05</v>
      </c>
      <c r="Q14" s="24">
        <v>0</v>
      </c>
      <c r="R14" s="24">
        <v>0</v>
      </c>
      <c r="S14" s="24">
        <v>0</v>
      </c>
      <c r="T14" s="535">
        <v>0</v>
      </c>
      <c r="U14" s="13">
        <f t="shared" si="2"/>
        <v>1</v>
      </c>
      <c r="V14" s="6" t="str">
        <f>IF(U14=100%,"Ok!","Verificar!")</f>
        <v>Ok!</v>
      </c>
    </row>
    <row r="15" spans="1:23" ht="24.9" customHeight="1">
      <c r="A15" s="830"/>
      <c r="B15" s="824"/>
      <c r="C15" s="5" t="s">
        <v>16</v>
      </c>
      <c r="D15" s="838"/>
      <c r="E15" s="100">
        <f>+$D$14*E14</f>
        <v>9226.8892390088058</v>
      </c>
      <c r="F15" s="100">
        <f t="shared" ref="F15:T15" si="5">+$D$14*F14</f>
        <v>9226.8892390088058</v>
      </c>
      <c r="G15" s="100">
        <f t="shared" si="5"/>
        <v>18453.778478017612</v>
      </c>
      <c r="H15" s="100">
        <f t="shared" si="5"/>
        <v>18453.778478017612</v>
      </c>
      <c r="I15" s="100">
        <f t="shared" si="5"/>
        <v>18453.778478017612</v>
      </c>
      <c r="J15" s="100">
        <f t="shared" si="5"/>
        <v>18453.778478017612</v>
      </c>
      <c r="K15" s="100">
        <f t="shared" si="5"/>
        <v>18453.778478017612</v>
      </c>
      <c r="L15" s="100">
        <f t="shared" si="5"/>
        <v>18453.778478017612</v>
      </c>
      <c r="M15" s="100">
        <f t="shared" si="5"/>
        <v>18453.778478017612</v>
      </c>
      <c r="N15" s="100">
        <f t="shared" si="5"/>
        <v>18453.778478017612</v>
      </c>
      <c r="O15" s="100">
        <f t="shared" si="5"/>
        <v>9226.8892390088058</v>
      </c>
      <c r="P15" s="100">
        <f t="shared" si="5"/>
        <v>9226.8892390088058</v>
      </c>
      <c r="Q15" s="100">
        <f t="shared" si="5"/>
        <v>0</v>
      </c>
      <c r="R15" s="100">
        <f t="shared" si="5"/>
        <v>0</v>
      </c>
      <c r="S15" s="100">
        <f t="shared" si="5"/>
        <v>0</v>
      </c>
      <c r="T15" s="536">
        <f t="shared" si="5"/>
        <v>0</v>
      </c>
      <c r="U15" s="14">
        <f t="shared" si="2"/>
        <v>184537.78478017609</v>
      </c>
      <c r="V15" s="6" t="str">
        <f>IF(U15=D14,"Ok!","Verificar!")</f>
        <v>Ok!</v>
      </c>
    </row>
    <row r="16" spans="1:23" ht="24.9" customHeight="1">
      <c r="A16" s="829" t="str">
        <f>RESUMO!A18</f>
        <v>5</v>
      </c>
      <c r="B16" s="823" t="str">
        <f>RESUMO!B18</f>
        <v>MURO DE CONTENÇÃO</v>
      </c>
      <c r="C16" s="23" t="s">
        <v>15</v>
      </c>
      <c r="D16" s="837">
        <f>RESUMO!D18</f>
        <v>44970.078627613089</v>
      </c>
      <c r="E16" s="24">
        <v>0.2</v>
      </c>
      <c r="F16" s="24">
        <v>0.2</v>
      </c>
      <c r="G16" s="24">
        <v>0.2</v>
      </c>
      <c r="H16" s="24">
        <v>0.2</v>
      </c>
      <c r="I16" s="24">
        <v>0.1</v>
      </c>
      <c r="J16" s="24">
        <v>0.1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535">
        <v>0</v>
      </c>
      <c r="U16" s="13">
        <f t="shared" si="2"/>
        <v>1</v>
      </c>
      <c r="V16" s="6" t="str">
        <f>IF(U16=100%,"Ok!","Verificar!")</f>
        <v>Ok!</v>
      </c>
    </row>
    <row r="17" spans="1:23" ht="24.9" customHeight="1">
      <c r="A17" s="830"/>
      <c r="B17" s="824"/>
      <c r="C17" s="5" t="s">
        <v>16</v>
      </c>
      <c r="D17" s="838"/>
      <c r="E17" s="100">
        <f>+$D$16*E16</f>
        <v>8994.0157255226186</v>
      </c>
      <c r="F17" s="100">
        <f t="shared" ref="F17:T17" si="6">+$D$16*F16</f>
        <v>8994.0157255226186</v>
      </c>
      <c r="G17" s="100">
        <f t="shared" si="6"/>
        <v>8994.0157255226186</v>
      </c>
      <c r="H17" s="100">
        <f t="shared" si="6"/>
        <v>8994.0157255226186</v>
      </c>
      <c r="I17" s="100">
        <f t="shared" si="6"/>
        <v>4497.0078627613093</v>
      </c>
      <c r="J17" s="100">
        <f t="shared" si="6"/>
        <v>4497.0078627613093</v>
      </c>
      <c r="K17" s="100">
        <f t="shared" si="6"/>
        <v>0</v>
      </c>
      <c r="L17" s="100">
        <f t="shared" si="6"/>
        <v>0</v>
      </c>
      <c r="M17" s="100">
        <f t="shared" si="6"/>
        <v>0</v>
      </c>
      <c r="N17" s="100">
        <f t="shared" si="6"/>
        <v>0</v>
      </c>
      <c r="O17" s="100">
        <f t="shared" si="6"/>
        <v>0</v>
      </c>
      <c r="P17" s="100">
        <f t="shared" si="6"/>
        <v>0</v>
      </c>
      <c r="Q17" s="100">
        <f t="shared" si="6"/>
        <v>0</v>
      </c>
      <c r="R17" s="100">
        <f t="shared" si="6"/>
        <v>0</v>
      </c>
      <c r="S17" s="100">
        <f t="shared" si="6"/>
        <v>0</v>
      </c>
      <c r="T17" s="536">
        <f t="shared" si="6"/>
        <v>0</v>
      </c>
      <c r="U17" s="14">
        <f t="shared" si="2"/>
        <v>44970.078627613097</v>
      </c>
      <c r="V17" s="6" t="str">
        <f>IF(U17=D16,"Ok!","Verificar!")</f>
        <v>Ok!</v>
      </c>
    </row>
    <row r="18" spans="1:23" ht="24.9" customHeight="1">
      <c r="A18" s="829" t="str">
        <f>RESUMO!A20</f>
        <v>6</v>
      </c>
      <c r="B18" s="823" t="str">
        <f>RESUMO!B20</f>
        <v xml:space="preserve">SINALIZAÇÃO </v>
      </c>
      <c r="C18" s="23" t="s">
        <v>15</v>
      </c>
      <c r="D18" s="837">
        <f>RESUMO!D20</f>
        <v>108293.08074955823</v>
      </c>
      <c r="E18" s="24">
        <v>6.25E-2</v>
      </c>
      <c r="F18" s="24">
        <v>6.25E-2</v>
      </c>
      <c r="G18" s="24">
        <v>6.25E-2</v>
      </c>
      <c r="H18" s="24">
        <v>6.25E-2</v>
      </c>
      <c r="I18" s="24">
        <v>6.25E-2</v>
      </c>
      <c r="J18" s="24">
        <v>6.25E-2</v>
      </c>
      <c r="K18" s="24">
        <v>6.25E-2</v>
      </c>
      <c r="L18" s="24">
        <v>6.25E-2</v>
      </c>
      <c r="M18" s="24">
        <v>6.25E-2</v>
      </c>
      <c r="N18" s="24">
        <v>6.25E-2</v>
      </c>
      <c r="O18" s="24">
        <v>6.25E-2</v>
      </c>
      <c r="P18" s="24">
        <v>6.25E-2</v>
      </c>
      <c r="Q18" s="24">
        <v>6.25E-2</v>
      </c>
      <c r="R18" s="24">
        <v>6.25E-2</v>
      </c>
      <c r="S18" s="24">
        <v>6.25E-2</v>
      </c>
      <c r="T18" s="535">
        <v>6.25E-2</v>
      </c>
      <c r="U18" s="13">
        <f t="shared" si="2"/>
        <v>1</v>
      </c>
      <c r="V18" s="6" t="str">
        <f>IF(U18=100%,"Ok!","Verificar!")</f>
        <v>Ok!</v>
      </c>
    </row>
    <row r="19" spans="1:23" ht="24.9" customHeight="1">
      <c r="A19" s="830"/>
      <c r="B19" s="824"/>
      <c r="C19" s="5" t="s">
        <v>16</v>
      </c>
      <c r="D19" s="838"/>
      <c r="E19" s="100">
        <f>+$D$18*E18</f>
        <v>6768.3175468473892</v>
      </c>
      <c r="F19" s="100">
        <f t="shared" ref="F19:T19" si="7">+$D$18*F18</f>
        <v>6768.3175468473892</v>
      </c>
      <c r="G19" s="100">
        <f t="shared" si="7"/>
        <v>6768.3175468473892</v>
      </c>
      <c r="H19" s="100">
        <f t="shared" si="7"/>
        <v>6768.3175468473892</v>
      </c>
      <c r="I19" s="100">
        <f t="shared" si="7"/>
        <v>6768.3175468473892</v>
      </c>
      <c r="J19" s="100">
        <f t="shared" si="7"/>
        <v>6768.3175468473892</v>
      </c>
      <c r="K19" s="100">
        <f t="shared" si="7"/>
        <v>6768.3175468473892</v>
      </c>
      <c r="L19" s="100">
        <f t="shared" si="7"/>
        <v>6768.3175468473892</v>
      </c>
      <c r="M19" s="100">
        <f t="shared" si="7"/>
        <v>6768.3175468473892</v>
      </c>
      <c r="N19" s="100">
        <f t="shared" si="7"/>
        <v>6768.3175468473892</v>
      </c>
      <c r="O19" s="100">
        <f t="shared" si="7"/>
        <v>6768.3175468473892</v>
      </c>
      <c r="P19" s="100">
        <f t="shared" si="7"/>
        <v>6768.3175468473892</v>
      </c>
      <c r="Q19" s="100">
        <f t="shared" si="7"/>
        <v>6768.3175468473892</v>
      </c>
      <c r="R19" s="100">
        <f t="shared" si="7"/>
        <v>6768.3175468473892</v>
      </c>
      <c r="S19" s="100">
        <f t="shared" si="7"/>
        <v>6768.3175468473892</v>
      </c>
      <c r="T19" s="536">
        <f t="shared" si="7"/>
        <v>6768.3175468473892</v>
      </c>
      <c r="U19" s="14">
        <f t="shared" si="2"/>
        <v>108293.08074955827</v>
      </c>
      <c r="V19" s="6" t="str">
        <f>IF(U19=D18,"Ok!","Verificar!")</f>
        <v>Ok!</v>
      </c>
    </row>
    <row r="20" spans="1:23" ht="24.9" customHeight="1">
      <c r="A20" s="829" t="str">
        <f>RESUMO!A16</f>
        <v>4</v>
      </c>
      <c r="B20" s="823" t="str">
        <f>RESUMO!B22</f>
        <v xml:space="preserve">ADMINISTRAÇÃO LOCAL </v>
      </c>
      <c r="C20" s="23" t="s">
        <v>15</v>
      </c>
      <c r="D20" s="837">
        <f>RESUMO!D22</f>
        <v>345272.00236414553</v>
      </c>
      <c r="E20" s="24">
        <v>6.25E-2</v>
      </c>
      <c r="F20" s="24">
        <v>6.25E-2</v>
      </c>
      <c r="G20" s="24">
        <v>6.25E-2</v>
      </c>
      <c r="H20" s="24">
        <v>6.25E-2</v>
      </c>
      <c r="I20" s="24">
        <v>6.25E-2</v>
      </c>
      <c r="J20" s="24">
        <v>6.25E-2</v>
      </c>
      <c r="K20" s="24">
        <v>6.25E-2</v>
      </c>
      <c r="L20" s="24">
        <v>6.25E-2</v>
      </c>
      <c r="M20" s="24">
        <v>6.25E-2</v>
      </c>
      <c r="N20" s="24">
        <v>6.25E-2</v>
      </c>
      <c r="O20" s="24">
        <v>6.25E-2</v>
      </c>
      <c r="P20" s="24">
        <v>6.25E-2</v>
      </c>
      <c r="Q20" s="24">
        <v>6.25E-2</v>
      </c>
      <c r="R20" s="24">
        <v>6.25E-2</v>
      </c>
      <c r="S20" s="24">
        <v>6.25E-2</v>
      </c>
      <c r="T20" s="535">
        <v>6.25E-2</v>
      </c>
      <c r="U20" s="13">
        <f t="shared" si="2"/>
        <v>1</v>
      </c>
      <c r="V20" s="6" t="str">
        <f>IF(U20=100%,"Ok!","Verificar!")</f>
        <v>Ok!</v>
      </c>
      <c r="W20" s="12">
        <f>SUM(E20:T20)</f>
        <v>1</v>
      </c>
    </row>
    <row r="21" spans="1:23" ht="24.9" customHeight="1">
      <c r="A21" s="830"/>
      <c r="B21" s="824"/>
      <c r="C21" s="5" t="s">
        <v>16</v>
      </c>
      <c r="D21" s="838"/>
      <c r="E21" s="100">
        <f>+$D$20*E20</f>
        <v>21579.500147759096</v>
      </c>
      <c r="F21" s="100">
        <f t="shared" ref="F21:T21" si="8">+$D$20*F20</f>
        <v>21579.500147759096</v>
      </c>
      <c r="G21" s="100">
        <f t="shared" si="8"/>
        <v>21579.500147759096</v>
      </c>
      <c r="H21" s="100">
        <f t="shared" si="8"/>
        <v>21579.500147759096</v>
      </c>
      <c r="I21" s="100">
        <f t="shared" si="8"/>
        <v>21579.500147759096</v>
      </c>
      <c r="J21" s="100">
        <f t="shared" si="8"/>
        <v>21579.500147759096</v>
      </c>
      <c r="K21" s="100">
        <f t="shared" si="8"/>
        <v>21579.500147759096</v>
      </c>
      <c r="L21" s="100">
        <f t="shared" si="8"/>
        <v>21579.500147759096</v>
      </c>
      <c r="M21" s="100">
        <f t="shared" si="8"/>
        <v>21579.500147759096</v>
      </c>
      <c r="N21" s="100">
        <f t="shared" si="8"/>
        <v>21579.500147759096</v>
      </c>
      <c r="O21" s="100">
        <f t="shared" si="8"/>
        <v>21579.500147759096</v>
      </c>
      <c r="P21" s="100">
        <f t="shared" si="8"/>
        <v>21579.500147759096</v>
      </c>
      <c r="Q21" s="100">
        <f t="shared" si="8"/>
        <v>21579.500147759096</v>
      </c>
      <c r="R21" s="100">
        <f t="shared" si="8"/>
        <v>21579.500147759096</v>
      </c>
      <c r="S21" s="100">
        <f t="shared" si="8"/>
        <v>21579.500147759096</v>
      </c>
      <c r="T21" s="536">
        <f t="shared" si="8"/>
        <v>21579.500147759096</v>
      </c>
      <c r="U21" s="14">
        <f t="shared" si="2"/>
        <v>345272.00236414553</v>
      </c>
      <c r="V21" s="6" t="str">
        <f>IF(U21=D20,"Ok!","Verificar!")</f>
        <v>Ok!</v>
      </c>
    </row>
    <row r="22" spans="1:23" ht="24.9" customHeight="1">
      <c r="A22" s="848" t="s">
        <v>17</v>
      </c>
      <c r="B22" s="849"/>
      <c r="C22" s="849"/>
      <c r="D22" s="851">
        <f>+SUM(D8:D21)</f>
        <v>5284785.6270300327</v>
      </c>
      <c r="E22" s="15">
        <f t="shared" ref="E22:T22" si="9">+E24/$D$22</f>
        <v>4.267740455892105E-2</v>
      </c>
      <c r="F22" s="15">
        <f t="shared" si="9"/>
        <v>5.6876917804551105E-2</v>
      </c>
      <c r="G22" s="15">
        <f t="shared" si="9"/>
        <v>3.8502801156726434E-2</v>
      </c>
      <c r="H22" s="15">
        <f t="shared" si="9"/>
        <v>5.2702314402356489E-2</v>
      </c>
      <c r="I22" s="15">
        <f t="shared" si="9"/>
        <v>5.8951136251249849E-2</v>
      </c>
      <c r="J22" s="15">
        <f t="shared" si="9"/>
        <v>7.315064949687991E-2</v>
      </c>
      <c r="K22" s="15">
        <f t="shared" si="9"/>
        <v>8.6499227968588291E-2</v>
      </c>
      <c r="L22" s="15">
        <f t="shared" si="9"/>
        <v>8.6499227968588291E-2</v>
      </c>
      <c r="M22" s="15">
        <f t="shared" si="9"/>
        <v>8.6499227968588291E-2</v>
      </c>
      <c r="N22" s="15">
        <f t="shared" si="9"/>
        <v>7.2299714722958236E-2</v>
      </c>
      <c r="O22" s="15">
        <f t="shared" si="9"/>
        <v>7.0553780282057527E-2</v>
      </c>
      <c r="P22" s="15">
        <f t="shared" si="9"/>
        <v>7.0553780282057527E-2</v>
      </c>
      <c r="Q22" s="15">
        <f t="shared" si="9"/>
        <v>6.1708089218341783E-2</v>
      </c>
      <c r="R22" s="15">
        <f t="shared" si="9"/>
        <v>4.7508575972711721E-2</v>
      </c>
      <c r="S22" s="15">
        <f t="shared" si="9"/>
        <v>4.7508575972711721E-2</v>
      </c>
      <c r="T22" s="537">
        <f t="shared" si="9"/>
        <v>4.7508575972711721E-2</v>
      </c>
      <c r="U22" s="850"/>
      <c r="V22" s="847"/>
      <c r="W22" s="12">
        <f>SUM(E22:T22)</f>
        <v>1</v>
      </c>
    </row>
    <row r="23" spans="1:23" ht="24.9" customHeight="1">
      <c r="A23" s="848" t="s">
        <v>18</v>
      </c>
      <c r="B23" s="849"/>
      <c r="C23" s="849"/>
      <c r="D23" s="851"/>
      <c r="E23" s="15">
        <f t="shared" ref="E23:M23" si="10">+E22</f>
        <v>4.267740455892105E-2</v>
      </c>
      <c r="F23" s="15">
        <f t="shared" si="10"/>
        <v>5.6876917804551105E-2</v>
      </c>
      <c r="G23" s="15">
        <f t="shared" si="10"/>
        <v>3.8502801156726434E-2</v>
      </c>
      <c r="H23" s="15">
        <f t="shared" si="10"/>
        <v>5.2702314402356489E-2</v>
      </c>
      <c r="I23" s="15">
        <f t="shared" si="10"/>
        <v>5.8951136251249849E-2</v>
      </c>
      <c r="J23" s="15">
        <f t="shared" si="10"/>
        <v>7.315064949687991E-2</v>
      </c>
      <c r="K23" s="15">
        <f t="shared" si="10"/>
        <v>8.6499227968588291E-2</v>
      </c>
      <c r="L23" s="15">
        <f t="shared" si="10"/>
        <v>8.6499227968588291E-2</v>
      </c>
      <c r="M23" s="15">
        <f t="shared" si="10"/>
        <v>8.6499227968588291E-2</v>
      </c>
      <c r="N23" s="15">
        <f t="shared" ref="N23:T23" si="11">+N22</f>
        <v>7.2299714722958236E-2</v>
      </c>
      <c r="O23" s="15">
        <f t="shared" si="11"/>
        <v>7.0553780282057527E-2</v>
      </c>
      <c r="P23" s="15">
        <f t="shared" si="11"/>
        <v>7.0553780282057527E-2</v>
      </c>
      <c r="Q23" s="15">
        <f t="shared" si="11"/>
        <v>6.1708089218341783E-2</v>
      </c>
      <c r="R23" s="15">
        <f t="shared" si="11"/>
        <v>4.7508575972711721E-2</v>
      </c>
      <c r="S23" s="15">
        <f t="shared" si="11"/>
        <v>4.7508575972711721E-2</v>
      </c>
      <c r="T23" s="537">
        <f t="shared" si="11"/>
        <v>4.7508575972711721E-2</v>
      </c>
      <c r="U23" s="850"/>
      <c r="V23" s="847"/>
    </row>
    <row r="24" spans="1:23" ht="24.9" customHeight="1">
      <c r="A24" s="848" t="s">
        <v>19</v>
      </c>
      <c r="B24" s="849"/>
      <c r="C24" s="849"/>
      <c r="D24" s="851"/>
      <c r="E24" s="16">
        <f>E11+E13+E15+E17+E19+E21+E9</f>
        <v>225540.93421193195</v>
      </c>
      <c r="F24" s="16">
        <f>F11+F13+F15+F17+F19+F21+F9</f>
        <v>300582.31772326026</v>
      </c>
      <c r="G24" s="16">
        <f t="shared" ref="G24:S24" si="12">G11+G13+G15+G17+G19+G21</f>
        <v>203479.05015346318</v>
      </c>
      <c r="H24" s="16">
        <f t="shared" si="12"/>
        <v>278520.43366479146</v>
      </c>
      <c r="I24" s="16">
        <f t="shared" si="12"/>
        <v>311544.11755769432</v>
      </c>
      <c r="J24" s="16">
        <f t="shared" si="12"/>
        <v>386585.50106902263</v>
      </c>
      <c r="K24" s="16">
        <f t="shared" si="12"/>
        <v>457129.87671758962</v>
      </c>
      <c r="L24" s="16">
        <f t="shared" si="12"/>
        <v>457129.87671758962</v>
      </c>
      <c r="M24" s="16">
        <f t="shared" si="12"/>
        <v>457129.87671758962</v>
      </c>
      <c r="N24" s="16">
        <f t="shared" si="12"/>
        <v>382088.49320626131</v>
      </c>
      <c r="O24" s="16">
        <f t="shared" si="12"/>
        <v>372861.60396725254</v>
      </c>
      <c r="P24" s="16">
        <f t="shared" si="12"/>
        <v>372861.60396725254</v>
      </c>
      <c r="Q24" s="16">
        <f t="shared" si="12"/>
        <v>326114.02297257958</v>
      </c>
      <c r="R24" s="16">
        <f t="shared" si="12"/>
        <v>251072.63946125127</v>
      </c>
      <c r="S24" s="16">
        <f t="shared" si="12"/>
        <v>251072.63946125127</v>
      </c>
      <c r="T24" s="538">
        <f>T11+T13+T15+T17+T19+T21</f>
        <v>251072.63946125127</v>
      </c>
      <c r="U24" s="850"/>
      <c r="V24" s="847"/>
    </row>
    <row r="25" spans="1:23" ht="24.9" customHeight="1" thickBot="1">
      <c r="A25" s="853" t="s">
        <v>20</v>
      </c>
      <c r="B25" s="854"/>
      <c r="C25" s="854"/>
      <c r="D25" s="852"/>
      <c r="E25" s="17">
        <f>E24</f>
        <v>225540.93421193195</v>
      </c>
      <c r="F25" s="17">
        <f>F24+E25</f>
        <v>526123.25193519215</v>
      </c>
      <c r="G25" s="17">
        <f t="shared" ref="G25:T25" si="13">G24+F25</f>
        <v>729602.3020886553</v>
      </c>
      <c r="H25" s="17">
        <f t="shared" si="13"/>
        <v>1008122.7357534468</v>
      </c>
      <c r="I25" s="17">
        <f t="shared" si="13"/>
        <v>1319666.853311141</v>
      </c>
      <c r="J25" s="17">
        <f t="shared" si="13"/>
        <v>1706252.3543801636</v>
      </c>
      <c r="K25" s="17">
        <f t="shared" si="13"/>
        <v>2163382.2310977532</v>
      </c>
      <c r="L25" s="17">
        <f t="shared" si="13"/>
        <v>2620512.107815343</v>
      </c>
      <c r="M25" s="17">
        <f t="shared" si="13"/>
        <v>3077641.9845329328</v>
      </c>
      <c r="N25" s="17">
        <f t="shared" si="13"/>
        <v>3459730.4777391939</v>
      </c>
      <c r="O25" s="17">
        <f t="shared" si="13"/>
        <v>3832592.0817064466</v>
      </c>
      <c r="P25" s="17">
        <f t="shared" si="13"/>
        <v>4205453.6856736988</v>
      </c>
      <c r="Q25" s="17">
        <f t="shared" si="13"/>
        <v>4531567.7086462788</v>
      </c>
      <c r="R25" s="17">
        <f t="shared" si="13"/>
        <v>4782640.3481075298</v>
      </c>
      <c r="S25" s="17">
        <f t="shared" si="13"/>
        <v>5033712.9875687808</v>
      </c>
      <c r="T25" s="539">
        <f t="shared" si="13"/>
        <v>5284785.6270300318</v>
      </c>
      <c r="U25" s="850"/>
      <c r="V25" s="847"/>
    </row>
    <row r="26" spans="1:23" ht="20.100000000000001" customHeight="1"/>
    <row r="27" spans="1:23" ht="20.100000000000001" customHeight="1">
      <c r="F27" s="2"/>
    </row>
  </sheetData>
  <mergeCells count="34">
    <mergeCell ref="V22:V25"/>
    <mergeCell ref="A23:C23"/>
    <mergeCell ref="B8:B9"/>
    <mergeCell ref="D8:D9"/>
    <mergeCell ref="U22:U25"/>
    <mergeCell ref="D22:D25"/>
    <mergeCell ref="A25:C25"/>
    <mergeCell ref="A24:C24"/>
    <mergeCell ref="B20:B21"/>
    <mergeCell ref="D20:D21"/>
    <mergeCell ref="D12:D13"/>
    <mergeCell ref="A20:A21"/>
    <mergeCell ref="A22:C22"/>
    <mergeCell ref="A12:A13"/>
    <mergeCell ref="A18:A19"/>
    <mergeCell ref="D14:D15"/>
    <mergeCell ref="D16:D17"/>
    <mergeCell ref="D18:D19"/>
    <mergeCell ref="E6:I6"/>
    <mergeCell ref="B12:B13"/>
    <mergeCell ref="D6:D7"/>
    <mergeCell ref="D10:D11"/>
    <mergeCell ref="B18:B19"/>
    <mergeCell ref="A14:A15"/>
    <mergeCell ref="A10:A11"/>
    <mergeCell ref="A16:A17"/>
    <mergeCell ref="B14:B15"/>
    <mergeCell ref="B10:B11"/>
    <mergeCell ref="B6:C7"/>
    <mergeCell ref="B16:B17"/>
    <mergeCell ref="A8:A9"/>
    <mergeCell ref="U6:V7"/>
    <mergeCell ref="A6:A7"/>
    <mergeCell ref="J6:T6"/>
  </mergeCells>
  <conditionalFormatting sqref="E8:T25">
    <cfRule type="cellIs" dxfId="1" priority="2" operator="equal">
      <formula>0</formula>
    </cfRule>
  </conditionalFormatting>
  <conditionalFormatting sqref="U8:U22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1:F44"/>
  <sheetViews>
    <sheetView showGridLines="0" view="pageBreakPreview" zoomScale="80" zoomScaleNormal="100" zoomScaleSheetLayoutView="80" workbookViewId="0">
      <selection activeCell="D33" sqref="D33"/>
    </sheetView>
  </sheetViews>
  <sheetFormatPr defaultColWidth="10.6640625" defaultRowHeight="15" customHeight="1"/>
  <cols>
    <col min="1" max="1" width="20.6640625" style="4" customWidth="1"/>
    <col min="2" max="2" width="46" style="4" bestFit="1" customWidth="1"/>
    <col min="3" max="3" width="14" style="4" customWidth="1"/>
    <col min="4" max="4" width="10.109375" style="4" bestFit="1" customWidth="1"/>
    <col min="5" max="5" width="10.6640625" style="4"/>
    <col min="6" max="6" width="10.109375" style="4" bestFit="1" customWidth="1"/>
    <col min="7" max="7" width="11.6640625" style="4" bestFit="1" customWidth="1"/>
    <col min="8" max="16384" width="10.6640625" style="4"/>
  </cols>
  <sheetData>
    <row r="1" spans="1:6" ht="15" customHeight="1">
      <c r="A1" s="540"/>
      <c r="B1" s="541"/>
      <c r="C1" s="541"/>
      <c r="D1" s="541"/>
      <c r="E1" s="541"/>
      <c r="F1" s="542"/>
    </row>
    <row r="2" spans="1:6" ht="15" customHeight="1">
      <c r="A2" s="871"/>
      <c r="B2" s="51"/>
      <c r="C2" s="52"/>
      <c r="D2" s="52"/>
      <c r="E2" s="52"/>
      <c r="F2" s="865" t="s">
        <v>35</v>
      </c>
    </row>
    <row r="3" spans="1:6" ht="15" customHeight="1">
      <c r="A3" s="872"/>
      <c r="B3" s="883" t="s">
        <v>40</v>
      </c>
      <c r="C3" s="884"/>
      <c r="D3" s="884"/>
      <c r="E3" s="543"/>
      <c r="F3" s="866"/>
    </row>
    <row r="4" spans="1:6" ht="11.4" customHeight="1">
      <c r="A4" s="872"/>
      <c r="B4" s="885" t="str">
        <f>RESUMO!B3</f>
        <v>O.A.E. PONTE - 71,10 m</v>
      </c>
      <c r="C4" s="886"/>
      <c r="D4" s="886"/>
      <c r="E4" s="544"/>
      <c r="F4" s="867">
        <v>44927</v>
      </c>
    </row>
    <row r="5" spans="1:6" ht="11.4" customHeight="1">
      <c r="A5" s="873"/>
      <c r="B5" s="863" t="str">
        <f>RESUMO!B4</f>
        <v>PONTE SOBRE O RIO SANTA MARIA DO RIO DOCE, SÃO ROQUE DO CANAÃ-ES</v>
      </c>
      <c r="C5" s="864"/>
      <c r="D5" s="864"/>
      <c r="E5" s="544"/>
      <c r="F5" s="867"/>
    </row>
    <row r="6" spans="1:6" ht="15" customHeight="1">
      <c r="A6" s="868"/>
      <c r="B6" s="869"/>
      <c r="C6" s="869"/>
      <c r="D6" s="869"/>
      <c r="E6" s="869"/>
      <c r="F6" s="870"/>
    </row>
    <row r="7" spans="1:6" ht="19.2" customHeight="1">
      <c r="A7" s="857" t="s">
        <v>41</v>
      </c>
      <c r="B7" s="858"/>
      <c r="C7" s="858"/>
      <c r="D7" s="858"/>
      <c r="E7" s="858"/>
      <c r="F7" s="859"/>
    </row>
    <row r="8" spans="1:6" ht="15" customHeight="1">
      <c r="A8" s="874"/>
      <c r="B8" s="875"/>
      <c r="C8" s="875"/>
      <c r="D8" s="875"/>
      <c r="E8" s="875"/>
      <c r="F8" s="876"/>
    </row>
    <row r="9" spans="1:6" ht="15" customHeight="1">
      <c r="A9" s="874" t="s">
        <v>42</v>
      </c>
      <c r="B9" s="875"/>
      <c r="C9" s="875"/>
      <c r="D9" s="875"/>
      <c r="E9" s="875"/>
      <c r="F9" s="876"/>
    </row>
    <row r="10" spans="1:6" ht="13.2">
      <c r="A10" s="860" t="s">
        <v>43</v>
      </c>
      <c r="B10" s="861"/>
      <c r="C10" s="861"/>
      <c r="D10" s="861"/>
      <c r="E10" s="861"/>
      <c r="F10" s="862"/>
    </row>
    <row r="11" spans="1:6" ht="15" customHeight="1">
      <c r="A11" s="877" t="s">
        <v>44</v>
      </c>
      <c r="B11" s="878"/>
      <c r="C11" s="878"/>
      <c r="D11" s="878"/>
      <c r="E11" s="878"/>
      <c r="F11" s="879"/>
    </row>
    <row r="12" spans="1:6" ht="13.2">
      <c r="A12" s="880" t="s">
        <v>493</v>
      </c>
      <c r="B12" s="881"/>
      <c r="C12" s="881"/>
      <c r="D12" s="881"/>
      <c r="E12" s="881"/>
      <c r="F12" s="882"/>
    </row>
    <row r="13" spans="1:6" ht="15" customHeight="1">
      <c r="A13" s="857" t="s">
        <v>45</v>
      </c>
      <c r="B13" s="858"/>
      <c r="C13" s="858"/>
      <c r="D13" s="858"/>
      <c r="E13" s="858"/>
      <c r="F13" s="859"/>
    </row>
    <row r="14" spans="1:6" ht="13.2">
      <c r="A14" s="545"/>
      <c r="B14" s="546"/>
      <c r="C14" s="547"/>
      <c r="D14" s="547"/>
      <c r="E14" s="547"/>
      <c r="F14" s="548"/>
    </row>
    <row r="15" spans="1:6" ht="13.2">
      <c r="A15" s="545"/>
      <c r="B15" s="46" t="s">
        <v>46</v>
      </c>
      <c r="C15" s="47">
        <v>4.01</v>
      </c>
      <c r="D15" s="48" t="s">
        <v>32</v>
      </c>
      <c r="E15" s="547"/>
      <c r="F15" s="548"/>
    </row>
    <row r="16" spans="1:6" ht="13.2">
      <c r="A16" s="545"/>
      <c r="B16" s="46" t="s">
        <v>47</v>
      </c>
      <c r="C16" s="47">
        <v>0.56000000000000005</v>
      </c>
      <c r="D16" s="48" t="s">
        <v>32</v>
      </c>
      <c r="E16" s="547"/>
      <c r="F16" s="548"/>
    </row>
    <row r="17" spans="1:6" ht="13.2">
      <c r="A17" s="545"/>
      <c r="B17" s="46" t="s">
        <v>48</v>
      </c>
      <c r="C17" s="47">
        <v>0.4</v>
      </c>
      <c r="D17" s="48" t="s">
        <v>32</v>
      </c>
      <c r="E17" s="547"/>
      <c r="F17" s="548"/>
    </row>
    <row r="18" spans="1:6" ht="13.2">
      <c r="A18" s="545"/>
      <c r="B18" s="46" t="s">
        <v>49</v>
      </c>
      <c r="C18" s="47">
        <v>1.1100000000000001</v>
      </c>
      <c r="D18" s="48" t="s">
        <v>32</v>
      </c>
      <c r="E18" s="547"/>
      <c r="F18" s="548"/>
    </row>
    <row r="19" spans="1:6" ht="13.2">
      <c r="A19" s="545"/>
      <c r="B19" s="549" t="s">
        <v>50</v>
      </c>
      <c r="C19" s="550">
        <f>SUM(C15:C18)</f>
        <v>6.080000000000001</v>
      </c>
      <c r="D19" s="551" t="s">
        <v>32</v>
      </c>
      <c r="E19" s="547"/>
      <c r="F19" s="548"/>
    </row>
    <row r="20" spans="1:6" ht="13.2">
      <c r="A20" s="545"/>
      <c r="B20" s="547"/>
      <c r="C20" s="547"/>
      <c r="D20" s="547"/>
      <c r="E20" s="547"/>
      <c r="F20" s="548"/>
    </row>
    <row r="21" spans="1:6" ht="13.2">
      <c r="A21" s="860" t="s">
        <v>51</v>
      </c>
      <c r="B21" s="861"/>
      <c r="C21" s="861"/>
      <c r="D21" s="861"/>
      <c r="E21" s="861"/>
      <c r="F21" s="862"/>
    </row>
    <row r="22" spans="1:6" ht="13.2">
      <c r="A22" s="545"/>
      <c r="B22" s="546"/>
      <c r="C22" s="547"/>
      <c r="D22" s="547"/>
      <c r="E22" s="547"/>
      <c r="F22" s="548"/>
    </row>
    <row r="23" spans="1:6" ht="13.2">
      <c r="A23" s="545"/>
      <c r="B23" s="49" t="s">
        <v>52</v>
      </c>
      <c r="C23" s="50">
        <v>7.65</v>
      </c>
      <c r="D23" s="48" t="s">
        <v>32</v>
      </c>
      <c r="E23" s="547"/>
      <c r="F23" s="548"/>
    </row>
    <row r="24" spans="1:6" ht="13.2">
      <c r="A24" s="545"/>
      <c r="B24" s="46" t="s">
        <v>53</v>
      </c>
      <c r="C24" s="47">
        <v>4</v>
      </c>
      <c r="D24" s="48" t="s">
        <v>32</v>
      </c>
      <c r="E24" s="547"/>
      <c r="F24" s="548"/>
    </row>
    <row r="25" spans="1:6" ht="13.2">
      <c r="A25" s="545"/>
      <c r="B25" s="46" t="s">
        <v>54</v>
      </c>
      <c r="C25" s="47">
        <v>3</v>
      </c>
      <c r="D25" s="48" t="s">
        <v>32</v>
      </c>
      <c r="E25" s="547"/>
      <c r="F25" s="548"/>
    </row>
    <row r="26" spans="1:6" ht="13.2">
      <c r="A26" s="545"/>
      <c r="B26" s="46" t="s">
        <v>55</v>
      </c>
      <c r="C26" s="47">
        <v>0.65</v>
      </c>
      <c r="D26" s="48" t="s">
        <v>32</v>
      </c>
      <c r="E26" s="547"/>
      <c r="F26" s="548"/>
    </row>
    <row r="27" spans="1:6" ht="13.2">
      <c r="A27" s="545"/>
      <c r="B27" s="46" t="s">
        <v>56</v>
      </c>
      <c r="C27" s="47">
        <v>0</v>
      </c>
      <c r="D27" s="48" t="s">
        <v>32</v>
      </c>
      <c r="E27" s="547"/>
      <c r="F27" s="548"/>
    </row>
    <row r="28" spans="1:6" ht="13.2">
      <c r="A28" s="545"/>
      <c r="B28" s="46" t="s">
        <v>57</v>
      </c>
      <c r="C28" s="47">
        <v>7.3</v>
      </c>
      <c r="D28" s="48" t="s">
        <v>32</v>
      </c>
      <c r="E28" s="547"/>
      <c r="F28" s="548"/>
    </row>
    <row r="29" spans="1:6" ht="15" customHeight="1">
      <c r="A29" s="545"/>
      <c r="B29" s="549" t="s">
        <v>58</v>
      </c>
      <c r="C29" s="552">
        <f>C28+C23</f>
        <v>14.95</v>
      </c>
      <c r="D29" s="551" t="s">
        <v>32</v>
      </c>
      <c r="E29" s="547"/>
      <c r="F29" s="548"/>
    </row>
    <row r="30" spans="1:6" ht="15" customHeight="1">
      <c r="A30" s="545"/>
      <c r="B30" s="547"/>
      <c r="C30" s="547"/>
      <c r="D30" s="547"/>
      <c r="E30" s="547"/>
      <c r="F30" s="548"/>
    </row>
    <row r="31" spans="1:6" ht="15" customHeight="1">
      <c r="A31" s="857" t="s">
        <v>59</v>
      </c>
      <c r="B31" s="858"/>
      <c r="C31" s="858"/>
      <c r="D31" s="858"/>
      <c r="E31" s="858"/>
      <c r="F31" s="859"/>
    </row>
    <row r="32" spans="1:6" ht="15" customHeight="1">
      <c r="A32" s="545"/>
      <c r="B32" s="547"/>
      <c r="C32" s="547"/>
      <c r="D32" s="547"/>
      <c r="E32" s="547"/>
      <c r="F32" s="548"/>
    </row>
    <row r="33" spans="1:6" ht="15" customHeight="1">
      <c r="A33" s="545"/>
      <c r="B33" s="553" t="s">
        <v>60</v>
      </c>
      <c r="C33" s="554"/>
      <c r="D33" s="26">
        <f>IF(A9="Sem Desoneração",(((1+(C15/100)+(C17/100)+(C16/100))*(1+(C18/100))*(1+(C28/100)))/(1-C23/100)-1),IF(A9="Com Desoneração",(((1+(C15/100)+(C17/100)+(C16/100))*(1+(C18/100))*(1+(C28/100)))/((1-C23/100+2/100))-1),""))</f>
        <v>0.23316766855441284</v>
      </c>
      <c r="E33" s="547"/>
      <c r="F33" s="548"/>
    </row>
    <row r="34" spans="1:6" ht="15" customHeight="1">
      <c r="A34" s="545"/>
      <c r="B34" s="553" t="s">
        <v>61</v>
      </c>
      <c r="C34" s="547"/>
      <c r="D34" s="547"/>
      <c r="E34" s="547"/>
      <c r="F34" s="548"/>
    </row>
    <row r="35" spans="1:6" ht="15" customHeight="1">
      <c r="A35" s="545"/>
      <c r="B35" s="547"/>
      <c r="C35" s="25"/>
      <c r="D35" s="547"/>
      <c r="E35" s="547"/>
      <c r="F35" s="548"/>
    </row>
    <row r="36" spans="1:6" ht="15" customHeight="1">
      <c r="A36" s="545"/>
      <c r="B36" s="555" t="s">
        <v>62</v>
      </c>
      <c r="C36" s="556"/>
      <c r="D36" s="547"/>
      <c r="E36" s="547"/>
      <c r="F36" s="548"/>
    </row>
    <row r="37" spans="1:6" ht="15" customHeight="1">
      <c r="A37" s="545"/>
      <c r="B37" s="557" t="s">
        <v>63</v>
      </c>
      <c r="C37" s="547"/>
      <c r="D37" s="547"/>
      <c r="E37" s="547"/>
      <c r="F37" s="548"/>
    </row>
    <row r="38" spans="1:6" ht="15" customHeight="1">
      <c r="A38" s="545"/>
      <c r="B38" s="557" t="s">
        <v>64</v>
      </c>
      <c r="C38" s="547"/>
      <c r="D38" s="547"/>
      <c r="E38" s="547"/>
      <c r="F38" s="548"/>
    </row>
    <row r="39" spans="1:6" ht="15" customHeight="1">
      <c r="A39" s="545"/>
      <c r="B39" s="557" t="s">
        <v>65</v>
      </c>
      <c r="C39" s="547"/>
      <c r="D39" s="547"/>
      <c r="E39" s="547"/>
      <c r="F39" s="548"/>
    </row>
    <row r="40" spans="1:6" ht="15" customHeight="1">
      <c r="A40" s="545"/>
      <c r="B40" s="557" t="s">
        <v>66</v>
      </c>
      <c r="C40" s="547"/>
      <c r="D40" s="547"/>
      <c r="E40" s="547"/>
      <c r="F40" s="548"/>
    </row>
    <row r="41" spans="1:6" ht="15" customHeight="1">
      <c r="A41" s="545"/>
      <c r="B41" s="557" t="s">
        <v>67</v>
      </c>
      <c r="C41" s="547"/>
      <c r="D41" s="547"/>
      <c r="E41" s="547"/>
      <c r="F41" s="548"/>
    </row>
    <row r="42" spans="1:6" ht="15" customHeight="1">
      <c r="A42" s="545"/>
      <c r="B42" s="557" t="s">
        <v>68</v>
      </c>
      <c r="C42" s="547"/>
      <c r="D42" s="547"/>
      <c r="E42" s="547"/>
      <c r="F42" s="548"/>
    </row>
    <row r="43" spans="1:6" ht="15" customHeight="1">
      <c r="A43" s="545"/>
      <c r="B43" s="557" t="s">
        <v>69</v>
      </c>
      <c r="C43" s="547"/>
      <c r="D43" s="547"/>
      <c r="E43" s="547"/>
      <c r="F43" s="548"/>
    </row>
    <row r="44" spans="1:6" ht="15" customHeight="1" thickBot="1">
      <c r="A44" s="558"/>
      <c r="B44" s="559"/>
      <c r="C44" s="559"/>
      <c r="D44" s="559"/>
      <c r="E44" s="559"/>
      <c r="F44" s="560"/>
    </row>
  </sheetData>
  <protectedRanges>
    <protectedRange sqref="C15:C18" name="Intervalo1_1"/>
    <protectedRange sqref="C24:C28" name="Intervalo2_1"/>
  </protectedRanges>
  <mergeCells count="16">
    <mergeCell ref="A13:F13"/>
    <mergeCell ref="A21:F21"/>
    <mergeCell ref="A31:F31"/>
    <mergeCell ref="B5:D5"/>
    <mergeCell ref="F2:F3"/>
    <mergeCell ref="F4:F5"/>
    <mergeCell ref="A6:F6"/>
    <mergeCell ref="A2:A5"/>
    <mergeCell ref="A7:F7"/>
    <mergeCell ref="A8:F8"/>
    <mergeCell ref="A9:F9"/>
    <mergeCell ref="A10:F10"/>
    <mergeCell ref="A11:F11"/>
    <mergeCell ref="A12:F12"/>
    <mergeCell ref="B3:D3"/>
    <mergeCell ref="B4:D4"/>
  </mergeCells>
  <dataValidations count="2">
    <dataValidation type="list" allowBlank="1" showInputMessage="1" showErrorMessage="1" sqref="A8" xr:uid="{00000000-0002-0000-0400-000000000000}">
      <formula1>"AE099008, CE GEPAD 424 2013"</formula1>
    </dataValidation>
    <dataValidation type="list" allowBlank="1" showInputMessage="1" showErrorMessage="1" sqref="A9" xr:uid="{00000000-0002-0000-0400-000001000000}">
      <formula1>"Com Desoneração, Sem Desoneração"</formula1>
    </dataValidation>
  </dataValidations>
  <printOptions horizontalCentered="1"/>
  <pageMargins left="0.59055118110236227" right="0.59055118110236227" top="0.98425196850393704" bottom="0.59055118110236227" header="0" footer="0"/>
  <pageSetup paperSize="9" scale="78" fitToWidth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0.34998626667073579"/>
  </sheetPr>
  <dimension ref="A1:AR96"/>
  <sheetViews>
    <sheetView showGridLines="0" view="pageBreakPreview" zoomScale="80" zoomScaleNormal="100" zoomScaleSheetLayoutView="80" workbookViewId="0">
      <selection activeCell="R96" sqref="R96"/>
    </sheetView>
  </sheetViews>
  <sheetFormatPr defaultColWidth="10.6640625" defaultRowHeight="15" customHeight="1"/>
  <cols>
    <col min="1" max="1" width="6.109375" style="4" customWidth="1"/>
    <col min="2" max="2" width="24.6640625" style="4" hidden="1" customWidth="1"/>
    <col min="3" max="3" width="28.44140625" style="4" hidden="1" customWidth="1"/>
    <col min="4" max="4" width="79.33203125" style="4" customWidth="1"/>
    <col min="5" max="5" width="9.33203125" style="4" hidden="1" customWidth="1"/>
    <col min="6" max="6" width="13.109375" style="4" hidden="1" customWidth="1"/>
    <col min="7" max="7" width="15.33203125" style="4" hidden="1" customWidth="1"/>
    <col min="8" max="8" width="11.6640625" style="4" hidden="1" customWidth="1"/>
    <col min="9" max="9" width="18.5546875" style="4" bestFit="1" customWidth="1"/>
    <col min="10" max="10" width="11" style="4" bestFit="1" customWidth="1"/>
    <col min="11" max="11" width="0" style="4" hidden="1" customWidth="1"/>
    <col min="12" max="12" width="15.88671875" style="4" hidden="1" customWidth="1"/>
    <col min="13" max="13" width="6.109375" style="4" hidden="1" customWidth="1"/>
    <col min="14" max="14" width="7.6640625" style="4" hidden="1" customWidth="1"/>
    <col min="15" max="15" width="0" style="4" hidden="1" customWidth="1"/>
    <col min="16" max="16384" width="10.6640625" style="4"/>
  </cols>
  <sheetData>
    <row r="1" spans="1:10" ht="15" customHeight="1">
      <c r="A1" s="468"/>
      <c r="B1" s="469"/>
      <c r="C1" s="469"/>
      <c r="D1" s="469"/>
      <c r="E1" s="469"/>
      <c r="F1" s="469"/>
      <c r="G1" s="469"/>
      <c r="H1" s="469"/>
      <c r="I1" s="469"/>
      <c r="J1" s="470"/>
    </row>
    <row r="2" spans="1:10" ht="15" customHeight="1">
      <c r="A2" s="478"/>
      <c r="B2" s="473"/>
      <c r="C2" s="473"/>
      <c r="D2" s="498" t="s">
        <v>146</v>
      </c>
      <c r="J2" s="521"/>
    </row>
    <row r="3" spans="1:10" ht="15" customHeight="1">
      <c r="A3" s="475"/>
      <c r="B3" s="710" t="str">
        <f>RESUMO!B3</f>
        <v>O.A.E. PONTE - 71,10 m</v>
      </c>
      <c r="C3" s="710"/>
      <c r="D3" s="710"/>
      <c r="J3" s="521"/>
    </row>
    <row r="4" spans="1:10" ht="11.4" customHeight="1">
      <c r="A4" s="476"/>
      <c r="B4" s="749" t="str">
        <f>RESUMO!B4</f>
        <v>PONTE SOBRE O RIO SANTA MARIA DO RIO DOCE, SÃO ROQUE DO CANAÃ-ES</v>
      </c>
      <c r="C4" s="749"/>
      <c r="D4" s="749"/>
      <c r="J4" s="521"/>
    </row>
    <row r="5" spans="1:10" ht="16.95" customHeight="1">
      <c r="A5" s="478"/>
      <c r="B5" s="567"/>
      <c r="C5" s="481"/>
      <c r="D5" s="568"/>
      <c r="J5" s="521"/>
    </row>
    <row r="6" spans="1:10" ht="15.6" customHeight="1">
      <c r="A6" s="569"/>
      <c r="B6" s="570"/>
      <c r="C6" s="570"/>
      <c r="D6" s="570" t="str">
        <f>RESUMO!B6</f>
        <v>Luiz Araujo de Souza Junior  - CREA: RJ-2021102768/D - Visto 20210452/ES</v>
      </c>
      <c r="J6" s="521"/>
    </row>
    <row r="7" spans="1:10" ht="15" customHeight="1">
      <c r="A7" s="571" t="s">
        <v>2</v>
      </c>
      <c r="B7" s="467" t="s">
        <v>3</v>
      </c>
      <c r="C7" s="467" t="s">
        <v>4</v>
      </c>
      <c r="D7" s="467" t="s">
        <v>5</v>
      </c>
      <c r="E7" s="467" t="s">
        <v>28</v>
      </c>
      <c r="F7" s="467" t="s">
        <v>11</v>
      </c>
      <c r="G7" s="467" t="s">
        <v>84</v>
      </c>
      <c r="H7" s="467" t="s">
        <v>30</v>
      </c>
      <c r="I7" s="467" t="s">
        <v>145</v>
      </c>
      <c r="J7" s="572" t="s">
        <v>32</v>
      </c>
    </row>
    <row r="8" spans="1:10" ht="40.049999999999997" customHeight="1">
      <c r="A8" s="573" t="str">
        <f>'PLANILHA '!A67</f>
        <v>3.3.13</v>
      </c>
      <c r="B8" s="101">
        <f>'PLANILHA '!B106</f>
        <v>40926</v>
      </c>
      <c r="C8" s="101" t="str">
        <f>'PLANILHA '!C106</f>
        <v>DER-ROD</v>
      </c>
      <c r="D8" s="438" t="str">
        <f>'PLANILHA '!D67</f>
        <v>Execução do arcos centrais da ponte</v>
      </c>
      <c r="E8" s="101" t="str">
        <f>'PLANILHA '!E106</f>
        <v>m²</v>
      </c>
      <c r="F8" s="101">
        <f>'PLANILHA '!F106</f>
        <v>140</v>
      </c>
      <c r="G8" s="101">
        <f>'PLANILHA '!G106</f>
        <v>0</v>
      </c>
      <c r="H8" s="101">
        <f>'PLANILHA '!H106</f>
        <v>29.679221864008248</v>
      </c>
      <c r="I8" s="314">
        <f>'PLANILHA '!I67</f>
        <v>1158935.0818490405</v>
      </c>
      <c r="J8" s="574">
        <f t="shared" ref="J8:J39" si="0">I8/$I$93</f>
        <v>0.24027068758590017</v>
      </c>
    </row>
    <row r="9" spans="1:10" ht="40.049999999999997" customHeight="1">
      <c r="A9" s="573" t="str">
        <f>'PLANILHA '!A66</f>
        <v>3.3.12</v>
      </c>
      <c r="B9" s="101" t="e">
        <f>'PLANILHA '!#REF!</f>
        <v>#REF!</v>
      </c>
      <c r="C9" s="101" t="e">
        <f>'PLANILHA '!#REF!</f>
        <v>#REF!</v>
      </c>
      <c r="D9" s="438" t="str">
        <f>'PLANILHA '!D66</f>
        <v>Guarda-corpo com vidro laminado</v>
      </c>
      <c r="E9" s="101" t="e">
        <f>'PLANILHA '!#REF!</f>
        <v>#REF!</v>
      </c>
      <c r="F9" s="101" t="e">
        <f>'PLANILHA '!#REF!</f>
        <v>#REF!</v>
      </c>
      <c r="G9" s="101" t="e">
        <f>'PLANILHA '!#REF!</f>
        <v>#REF!</v>
      </c>
      <c r="H9" s="101" t="e">
        <f>'PLANILHA '!#REF!</f>
        <v>#REF!</v>
      </c>
      <c r="I9" s="314">
        <f>'PLANILHA '!I66</f>
        <v>721620.04543116689</v>
      </c>
      <c r="J9" s="574">
        <f t="shared" si="0"/>
        <v>0.14960643370540361</v>
      </c>
    </row>
    <row r="10" spans="1:10" ht="40.049999999999997" customHeight="1">
      <c r="A10" s="573" t="str">
        <f>'PLANILHA '!A48</f>
        <v>3.2.3</v>
      </c>
      <c r="B10" s="101">
        <f>'PLANILHA '!B32</f>
        <v>41500</v>
      </c>
      <c r="C10" s="101" t="str">
        <f>'PLANILHA '!C32</f>
        <v>DER-ROD</v>
      </c>
      <c r="D10" s="438" t="str">
        <f>'PLANILHA '!D48</f>
        <v>Viga metálica em perfil laminado ou soldado em aço estrutural, com conexões parafusadas, inclusos mão de obra, transporte e içamento utilizando guindaste - fornecimento e instalação</v>
      </c>
      <c r="E10" s="101" t="str">
        <f>'PLANILHA '!E32</f>
        <v>m²</v>
      </c>
      <c r="F10" s="101">
        <f>'PLANILHA '!F32</f>
        <v>38</v>
      </c>
      <c r="G10" s="101">
        <f>'PLANILHA '!G32</f>
        <v>0</v>
      </c>
      <c r="H10" s="101">
        <f>'PLANILHA '!H32</f>
        <v>298.58217171072175</v>
      </c>
      <c r="I10" s="314">
        <f>'PLANILHA '!I48</f>
        <v>585173.16318977287</v>
      </c>
      <c r="J10" s="574">
        <f t="shared" si="0"/>
        <v>0.12131823471259544</v>
      </c>
    </row>
    <row r="11" spans="1:10" ht="40.049999999999997" customHeight="1">
      <c r="A11" s="573" t="str">
        <f>'PLANILHA '!A57</f>
        <v>3.3.3</v>
      </c>
      <c r="B11" s="101">
        <f>'PLANILHA '!B109</f>
        <v>40935</v>
      </c>
      <c r="C11" s="101" t="str">
        <f>'PLANILHA '!C109</f>
        <v>DER-ROD</v>
      </c>
      <c r="D11" s="438" t="str">
        <f>'PLANILHA '!D57</f>
        <v>Aço CA-50, fornecimento, dobragem e colocação nas formas (preço médio das bitolas)</v>
      </c>
      <c r="E11" s="101" t="str">
        <f>'PLANILHA '!E109</f>
        <v>und</v>
      </c>
      <c r="F11" s="101">
        <f>'PLANILHA '!F109</f>
        <v>100</v>
      </c>
      <c r="G11" s="101">
        <f>'PLANILHA '!G109</f>
        <v>0</v>
      </c>
      <c r="H11" s="101">
        <f>'PLANILHA '!H109</f>
        <v>91.857591658618517</v>
      </c>
      <c r="I11" s="314">
        <f>'PLANILHA '!I57</f>
        <v>310679.85453116562</v>
      </c>
      <c r="J11" s="574">
        <f t="shared" si="0"/>
        <v>6.441021886074369E-2</v>
      </c>
    </row>
    <row r="12" spans="1:10" ht="40.049999999999997" customHeight="1">
      <c r="A12" s="573" t="str">
        <f>'PLANILHA '!A55</f>
        <v>3.3.1</v>
      </c>
      <c r="B12" s="101">
        <f>'PLANILHA '!B29</f>
        <v>41555</v>
      </c>
      <c r="C12" s="101" t="str">
        <f>'PLANILHA '!C29</f>
        <v>DER-ROD</v>
      </c>
      <c r="D12" s="438" t="str">
        <f>'PLANILHA '!D55</f>
        <v>Placas pré-moldadas para forma de tabuleiro de ponte</v>
      </c>
      <c r="E12" s="101" t="str">
        <f>'PLANILHA '!E29</f>
        <v>UND</v>
      </c>
      <c r="F12" s="101">
        <f>'PLANILHA '!F29</f>
        <v>1</v>
      </c>
      <c r="G12" s="101">
        <f>'PLANILHA '!G29</f>
        <v>0</v>
      </c>
      <c r="H12" s="101">
        <f>'PLANILHA '!H29</f>
        <v>8110.8273486470844</v>
      </c>
      <c r="I12" s="314">
        <f>'PLANILHA '!I55</f>
        <v>219158.54505583108</v>
      </c>
      <c r="J12" s="574">
        <f t="shared" si="0"/>
        <v>4.5435999941322872E-2</v>
      </c>
    </row>
    <row r="13" spans="1:10" ht="40.049999999999997" customHeight="1">
      <c r="A13" s="573" t="str">
        <f>'PLANILHA '!A59</f>
        <v>3.3.5</v>
      </c>
      <c r="B13" s="101">
        <f>'PLANILHA '!B97</f>
        <v>100203</v>
      </c>
      <c r="C13" s="101" t="str">
        <f>'PLANILHA '!C97</f>
        <v>DER-EDF</v>
      </c>
      <c r="D13" s="438" t="str">
        <f>'PLANILHA '!D59</f>
        <v>Concreto para bombeamento fck = 40 MPa com adição de critalizante (tabuleiros)</v>
      </c>
      <c r="E13" s="101" t="str">
        <f>'PLANILHA '!E97</f>
        <v>m²</v>
      </c>
      <c r="F13" s="101">
        <f>'PLANILHA '!F97</f>
        <v>114.5</v>
      </c>
      <c r="G13" s="101">
        <f>'PLANILHA '!G97</f>
        <v>0</v>
      </c>
      <c r="H13" s="101">
        <f>'PLANILHA '!H97</f>
        <v>55.751510295345007</v>
      </c>
      <c r="I13" s="314">
        <f>'PLANILHA '!I59</f>
        <v>140807.39611696926</v>
      </c>
      <c r="J13" s="574">
        <f t="shared" si="0"/>
        <v>2.9192221731890983E-2</v>
      </c>
    </row>
    <row r="14" spans="1:10" ht="40.049999999999997" customHeight="1">
      <c r="A14" s="573" t="str">
        <f>'PLANILHA '!A13</f>
        <v>1.2</v>
      </c>
      <c r="B14" s="101">
        <f>'PLANILHA '!B57</f>
        <v>40376</v>
      </c>
      <c r="C14" s="101" t="str">
        <f>'PLANILHA '!C57</f>
        <v>DER-ROD</v>
      </c>
      <c r="D14" s="438" t="str">
        <f>'PLANILHA '!D13</f>
        <v>Inspeção das fundações da ponte</v>
      </c>
      <c r="E14" s="101" t="str">
        <f>'PLANILHA '!E57</f>
        <v>kg</v>
      </c>
      <c r="F14" s="101">
        <f>'PLANILHA '!F57</f>
        <v>23360</v>
      </c>
      <c r="G14" s="101">
        <f>'PLANILHA '!G57</f>
        <v>0</v>
      </c>
      <c r="H14" s="101">
        <f>'PLANILHA '!H57</f>
        <v>13.299651306984829</v>
      </c>
      <c r="I14" s="314">
        <f>'PLANILHA '!I13</f>
        <v>122759.32306581814</v>
      </c>
      <c r="J14" s="574">
        <f t="shared" si="0"/>
        <v>2.5450491078020342E-2</v>
      </c>
    </row>
    <row r="15" spans="1:10" ht="40.049999999999997" customHeight="1">
      <c r="A15" s="573" t="str">
        <f>'PLANILHA '!A22</f>
        <v>2.8</v>
      </c>
      <c r="B15" s="101">
        <f>'PLANILHA '!B63</f>
        <v>307735</v>
      </c>
      <c r="C15" s="101" t="str">
        <f>'PLANILHA '!C63</f>
        <v>SICRO</v>
      </c>
      <c r="D15" s="438" t="str">
        <f>'PLANILHA '!D22</f>
        <v>Barracão em chapa compensada 12mm e pont. 8x8cm, piso cimentado e cobertura de telhas
fibrocimento 6mm, incl. ponto de luz</v>
      </c>
      <c r="E15" s="101" t="str">
        <f>'PLANILHA '!E63</f>
        <v>m</v>
      </c>
      <c r="F15" s="101">
        <f>'PLANILHA '!F63</f>
        <v>45.2</v>
      </c>
      <c r="G15" s="101">
        <f>'PLANILHA '!G63</f>
        <v>0</v>
      </c>
      <c r="H15" s="101">
        <f>'PLANILHA '!H63</f>
        <v>1114.5862655462206</v>
      </c>
      <c r="I15" s="314">
        <f>'PLANILHA '!I22</f>
        <v>163412.91560630081</v>
      </c>
      <c r="J15" s="574">
        <f t="shared" si="0"/>
        <v>3.3878803228994753E-2</v>
      </c>
    </row>
    <row r="16" spans="1:10" ht="40.049999999999997" customHeight="1">
      <c r="A16" s="573" t="str">
        <f>'PLANILHA '!A37</f>
        <v>3.1.1</v>
      </c>
      <c r="B16" s="101">
        <f>'PLANILHA '!B60</f>
        <v>40381</v>
      </c>
      <c r="C16" s="101" t="str">
        <f>'PLANILHA '!C60</f>
        <v>DER-ROD</v>
      </c>
      <c r="D16" s="438" t="str">
        <f>'PLANILHA '!D37</f>
        <v>DEMOLICAO E REMOCAO DE ESTRUTURAS METALICAS TRELICADAS DE VERGALHOES E/OU PERFIS LEVES DE ACO,MEDIDAS PELO PESO REMOVIDO Observacao: 3%-DESGASTE DE FERRAMENTAS E EPI</v>
      </c>
      <c r="E16" s="101" t="str">
        <f>'PLANILHA '!E60</f>
        <v>m²</v>
      </c>
      <c r="F16" s="101">
        <f>'PLANILHA '!F60</f>
        <v>802.3</v>
      </c>
      <c r="G16" s="101">
        <f>'PLANILHA '!G60</f>
        <v>0</v>
      </c>
      <c r="H16" s="101">
        <f>'PLANILHA '!H60</f>
        <v>35.979056693632636</v>
      </c>
      <c r="I16" s="314">
        <f>'PLANILHA '!I37</f>
        <v>167461.24472292481</v>
      </c>
      <c r="J16" s="574">
        <f t="shared" si="0"/>
        <v>3.471810375208649E-2</v>
      </c>
    </row>
    <row r="17" spans="1:10" ht="40.049999999999997" customHeight="1">
      <c r="A17" s="573" t="str">
        <f>'PLANILHA '!A12</f>
        <v>1.1</v>
      </c>
      <c r="B17" s="101" t="str">
        <f>'PLANILHA '!B66</f>
        <v>COMP_04</v>
      </c>
      <c r="C17" s="101">
        <f>'PLANILHA '!C66</f>
        <v>0</v>
      </c>
      <c r="D17" s="438" t="str">
        <f>'PLANILHA '!D12</f>
        <v>PROJETO ESTRUTURAL FINAL DE ENGENHARIA DE OBRAS-DE-ARTE ESPECIAIS (PONTES,VIADUTOS E PASSARELAS) EM CONCRETO ARMADO E/OU PROTENDIDO OU ESTRUTURA DE ACO,COM AREA DE PROJECAO HORIZONTAL DE 501 ATE 5.000M2,APRESENTADO NOS PADROES DA CONTRATANTEObservacao: 9% - DESPESAS ADMINISTRATIVAS E DE MATERIAIS</v>
      </c>
      <c r="E17" s="101" t="str">
        <f>'PLANILHA '!E66</f>
        <v>m</v>
      </c>
      <c r="F17" s="101">
        <f>'PLANILHA '!F66</f>
        <v>142</v>
      </c>
      <c r="G17" s="101">
        <f>'PLANILHA '!G66</f>
        <v>0</v>
      </c>
      <c r="H17" s="101">
        <f>'PLANILHA '!H66</f>
        <v>5081.8313058532876</v>
      </c>
      <c r="I17" s="314">
        <f>'PLANILHA '!I12</f>
        <v>164942.37406312191</v>
      </c>
      <c r="J17" s="574">
        <f t="shared" si="0"/>
        <v>3.4195890907856082E-2</v>
      </c>
    </row>
    <row r="18" spans="1:10" ht="40.049999999999997" customHeight="1">
      <c r="A18" s="573" t="str">
        <f>'PLANILHA '!A27</f>
        <v>2.13</v>
      </c>
      <c r="B18" s="101">
        <f>'PLANILHA '!B19</f>
        <v>41455</v>
      </c>
      <c r="C18" s="101" t="str">
        <f>'PLANILHA '!C19</f>
        <v>DER-ROD</v>
      </c>
      <c r="D18" s="438" t="str">
        <f>'PLANILHA '!D27</f>
        <v>Rede de luz, incl. padrão entr. energia trifás. cabo ligação até barracões, quadro distrib., disj. e
chave de força, cons. 20m entre padrão entr.e QDG</v>
      </c>
      <c r="E18" s="101" t="str">
        <f>'PLANILHA '!E19</f>
        <v>Mes</v>
      </c>
      <c r="F18" s="101">
        <f>'PLANILHA '!F19</f>
        <v>16</v>
      </c>
      <c r="G18" s="101">
        <f>'PLANILHA '!G19</f>
        <v>0</v>
      </c>
      <c r="H18" s="101">
        <f>'PLANILHA '!H19</f>
        <v>2199.3523369244735</v>
      </c>
      <c r="I18" s="314">
        <f>'PLANILHA '!I27</f>
        <v>76110.504519013746</v>
      </c>
      <c r="J18" s="574">
        <f t="shared" si="0"/>
        <v>1.5779247293227786E-2</v>
      </c>
    </row>
    <row r="19" spans="1:10" ht="40.049999999999997" customHeight="1">
      <c r="A19" s="573" t="str">
        <f>'PLANILHA '!A26</f>
        <v>2.12</v>
      </c>
      <c r="B19" s="101">
        <f>'PLANILHA '!B17</f>
        <v>41578</v>
      </c>
      <c r="C19" s="101" t="str">
        <f>'PLANILHA '!C17</f>
        <v>DER-ROD</v>
      </c>
      <c r="D19" s="438" t="str">
        <f>'PLANILHA '!D26</f>
        <v>Rede de esgoto, contendo fossa e filtro, incl. tubos e conexões de ligação entre caixas,
considerando distância de 25m</v>
      </c>
      <c r="E19" s="101" t="str">
        <f>'PLANILHA '!E17</f>
        <v>Mes</v>
      </c>
      <c r="F19" s="101">
        <f>'PLANILHA '!F17</f>
        <v>16</v>
      </c>
      <c r="G19" s="101">
        <f>'PLANILHA '!G17</f>
        <v>0</v>
      </c>
      <c r="H19" s="101">
        <f>'PLANILHA '!H17</f>
        <v>1219.5980243261583</v>
      </c>
      <c r="I19" s="314">
        <f>'PLANILHA '!I26</f>
        <v>59518.439533213314</v>
      </c>
      <c r="J19" s="574">
        <f t="shared" si="0"/>
        <v>1.233937656617399E-2</v>
      </c>
    </row>
    <row r="20" spans="1:10" ht="40.049999999999997" customHeight="1">
      <c r="A20" s="573" t="str">
        <f>'PLANILHA '!A74</f>
        <v>4.6</v>
      </c>
      <c r="B20" s="101">
        <f>'PLANILHA '!B90</f>
        <v>40106</v>
      </c>
      <c r="C20" s="101" t="str">
        <f>'PLANILHA '!C90</f>
        <v>DER-ROD</v>
      </c>
      <c r="D20" s="438" t="str">
        <f>'PLANILHA '!D74</f>
        <v>Remoção cuidadosa do concreto afetado, através de escarificação (considerando esp. Escarificada de 5 cm)</v>
      </c>
      <c r="E20" s="101" t="str">
        <f>'PLANILHA '!E90</f>
        <v>m³</v>
      </c>
      <c r="F20" s="101">
        <f>'PLANILHA '!F90</f>
        <v>147</v>
      </c>
      <c r="G20" s="101">
        <f>'PLANILHA '!G90</f>
        <v>0</v>
      </c>
      <c r="H20" s="101">
        <f>'PLANILHA '!H90</f>
        <v>17.939529657692319</v>
      </c>
      <c r="I20" s="314">
        <f>'PLANILHA '!I74</f>
        <v>78066.531302706004</v>
      </c>
      <c r="J20" s="574">
        <f t="shared" si="0"/>
        <v>1.6184771215675922E-2</v>
      </c>
    </row>
    <row r="21" spans="1:10" ht="40.049999999999997" customHeight="1">
      <c r="A21" s="573" t="str">
        <f>'PLANILHA '!A63</f>
        <v>3.3.9</v>
      </c>
      <c r="B21" s="101">
        <f>'PLANILHA '!B77</f>
        <v>2419790</v>
      </c>
      <c r="C21" s="101" t="str">
        <f>'PLANILHA '!C77</f>
        <v>SICRO</v>
      </c>
      <c r="D21" s="438" t="str">
        <f>'PLANILHA '!D63</f>
        <v>Junta de dilatação em elastômero e perfil VV - L = 35 mm e H = 60 mm - fornecimento e instalação</v>
      </c>
      <c r="E21" s="101" t="str">
        <f>'PLANILHA '!E77</f>
        <v>m²</v>
      </c>
      <c r="F21" s="101">
        <f>'PLANILHA '!F77</f>
        <v>473.52599999999995</v>
      </c>
      <c r="G21" s="101">
        <f>'PLANILHA '!G77</f>
        <v>0</v>
      </c>
      <c r="H21" s="101">
        <f>'PLANILHA '!H77</f>
        <v>12.541315189198379</v>
      </c>
      <c r="I21" s="314">
        <f>'PLANILHA '!I63</f>
        <v>50379.299202689173</v>
      </c>
      <c r="J21" s="574">
        <f t="shared" si="0"/>
        <v>1.0444647891936573E-2</v>
      </c>
    </row>
    <row r="22" spans="1:10" ht="40.049999999999997" customHeight="1">
      <c r="A22" s="573" t="str">
        <f>'PLANILHA '!A56</f>
        <v>3.3.2</v>
      </c>
      <c r="B22" s="101">
        <f>'PLANILHA '!B84</f>
        <v>40390</v>
      </c>
      <c r="C22" s="101" t="str">
        <f>'PLANILHA '!C84</f>
        <v>DER-ROD</v>
      </c>
      <c r="D22" s="438" t="str">
        <f>'PLANILHA '!D56</f>
        <v>Formas planas de madeirit meso e superestrutura com 1 reaproveitamento esp. = 17 mm,
inclusive fornecimento e transporte das madeiras</v>
      </c>
      <c r="E22" s="101" t="str">
        <f>'PLANILHA '!E84</f>
        <v>m²</v>
      </c>
      <c r="F22" s="101">
        <f>'PLANILHA '!F84</f>
        <v>3156.8399999999997</v>
      </c>
      <c r="G22" s="101">
        <f>'PLANILHA '!G84</f>
        <v>0</v>
      </c>
      <c r="H22" s="101">
        <f>'PLANILHA '!H84</f>
        <v>5.6098529197131493</v>
      </c>
      <c r="I22" s="314">
        <f>'PLANILHA '!I56</f>
        <v>41569.020334807021</v>
      </c>
      <c r="J22" s="574">
        <f t="shared" si="0"/>
        <v>8.6180988517330376E-3</v>
      </c>
    </row>
    <row r="23" spans="1:10" ht="40.049999999999997" customHeight="1">
      <c r="A23" s="573" t="str">
        <f>'PLANILHA '!A108</f>
        <v>6.2.3</v>
      </c>
      <c r="B23" s="101"/>
      <c r="C23" s="101"/>
      <c r="D23" s="438" t="str">
        <f>'PLANILHA '!D108</f>
        <v>Sinalização vertical com chapa revestida em película, inclusive suporte em madeira</v>
      </c>
      <c r="E23" s="101"/>
      <c r="F23" s="101"/>
      <c r="G23" s="101"/>
      <c r="H23" s="101"/>
      <c r="I23" s="314">
        <f>'PLANILHA '!I108</f>
        <v>39350.168309129425</v>
      </c>
      <c r="J23" s="574">
        <f t="shared" si="0"/>
        <v>8.1580859396980163E-3</v>
      </c>
    </row>
    <row r="24" spans="1:10" ht="40.049999999999997" customHeight="1">
      <c r="A24" s="573" t="str">
        <f>'PLANILHA '!A17</f>
        <v>2.3</v>
      </c>
      <c r="B24" s="101" t="str">
        <f>'PLANILHA '!B37</f>
        <v>05.002.0065-0</v>
      </c>
      <c r="C24" s="101" t="str">
        <f>'PLANILHA '!C37</f>
        <v>EMOP</v>
      </c>
      <c r="D24" s="438" t="str">
        <f>'PLANILHA '!D17</f>
        <v>Aluguel de container p/ escritório c/ ar condicionado e banheiro, isolam.térmico e acústico, 2
luminárias, janela de vidro, tomada p/ comput. e telef.</v>
      </c>
      <c r="E24" s="101" t="str">
        <f>'PLANILHA '!E37</f>
        <v>kg</v>
      </c>
      <c r="F24" s="101">
        <f>'PLANILHA '!F37</f>
        <v>42173.176500000001</v>
      </c>
      <c r="G24" s="101">
        <f>'PLANILHA '!G37</f>
        <v>0</v>
      </c>
      <c r="H24" s="101">
        <f>'PLANILHA '!H37</f>
        <v>3.9707998927452097</v>
      </c>
      <c r="I24" s="314">
        <f>'PLANILHA '!I17</f>
        <v>19513.568389218533</v>
      </c>
      <c r="J24" s="574">
        <f t="shared" si="0"/>
        <v>4.04555748424806E-3</v>
      </c>
    </row>
    <row r="25" spans="1:10" ht="40.049999999999997" customHeight="1">
      <c r="A25" s="573" t="str">
        <f>'PLANILHA '!A24</f>
        <v>2.10</v>
      </c>
      <c r="B25" s="101">
        <f>'PLANILHA '!B26</f>
        <v>41499</v>
      </c>
      <c r="C25" s="101" t="str">
        <f>'PLANILHA '!C26</f>
        <v>DER-ROD</v>
      </c>
      <c r="D25" s="438" t="str">
        <f>'PLANILHA '!D24</f>
        <v>Galpão para corte e armação com área de 6.00m2, em peças de madeira 8x8cm e contraventamento de
5x7cm, cobertura de telhas de fibroc. de 6mm, inclusive ponto e cabo de alimentação da máquina, conf.
projeto (1 utilização)</v>
      </c>
      <c r="E25" s="101" t="str">
        <f>'PLANILHA '!E26</f>
        <v>m</v>
      </c>
      <c r="F25" s="101">
        <f>'PLANILHA '!F26</f>
        <v>125</v>
      </c>
      <c r="G25" s="101">
        <f>'PLANILHA '!G26</f>
        <v>0</v>
      </c>
      <c r="H25" s="101">
        <f>'PLANILHA '!H26</f>
        <v>476.14751626570649</v>
      </c>
      <c r="I25" s="314">
        <f>'PLANILHA '!I24</f>
        <v>40362.317692387071</v>
      </c>
      <c r="J25" s="574">
        <f t="shared" si="0"/>
        <v>8.3679249825087294E-3</v>
      </c>
    </row>
    <row r="26" spans="1:10" ht="40.049999999999997" customHeight="1">
      <c r="A26" s="573" t="str">
        <f>'PLANILHA '!A58</f>
        <v>3.3.4</v>
      </c>
      <c r="B26" s="101">
        <f>'PLANILHA '!B28</f>
        <v>41527</v>
      </c>
      <c r="C26" s="101" t="str">
        <f>'PLANILHA '!C28</f>
        <v>DER-ROD</v>
      </c>
      <c r="D26" s="438" t="str">
        <f>'PLANILHA '!D58</f>
        <v xml:space="preserve"> Concreto estrutural usinado Fck=40 MPa, tudo incluído, inclusive bombeamento.</v>
      </c>
      <c r="E26" s="101" t="str">
        <f>'PLANILHA '!E28</f>
        <v>UND</v>
      </c>
      <c r="F26" s="101">
        <f>'PLANILHA '!F28</f>
        <v>2</v>
      </c>
      <c r="G26" s="101">
        <f>'PLANILHA '!G28</f>
        <v>0</v>
      </c>
      <c r="H26" s="101">
        <f>'PLANILHA '!H28</f>
        <v>3475.8488694737475</v>
      </c>
      <c r="I26" s="314">
        <f>'PLANILHA '!I58</f>
        <v>47915.965559999997</v>
      </c>
      <c r="J26" s="574">
        <f t="shared" si="0"/>
        <v>9.9339489948610735E-3</v>
      </c>
    </row>
    <row r="27" spans="1:10" ht="40.049999999999997" customHeight="1">
      <c r="A27" s="573" t="str">
        <f>'PLANILHA '!A19</f>
        <v>2.5</v>
      </c>
      <c r="B27" s="101">
        <f>'PLANILHA '!B74</f>
        <v>40802</v>
      </c>
      <c r="C27" s="101" t="str">
        <f>'PLANILHA '!C74</f>
        <v>DER-EDF</v>
      </c>
      <c r="D27" s="438" t="str">
        <f>'PLANILHA '!D19</f>
        <v>Aluguel de container tipo refeitório (2 unidades acopladas), c/ 2 aparelhos de ar condicionado,
4 lumináriase 4 janelas de vidro</v>
      </c>
      <c r="E27" s="101" t="str">
        <f>'PLANILHA '!E74</f>
        <v>m²</v>
      </c>
      <c r="F27" s="101">
        <f>'PLANILHA '!F74</f>
        <v>473.52599999999995</v>
      </c>
      <c r="G27" s="101">
        <f>'PLANILHA '!G74</f>
        <v>0</v>
      </c>
      <c r="H27" s="101">
        <f>'PLANILHA '!H74</f>
        <v>164.86218560903944</v>
      </c>
      <c r="I27" s="314">
        <f>'PLANILHA '!I19</f>
        <v>35189.637390791577</v>
      </c>
      <c r="J27" s="574">
        <f t="shared" si="0"/>
        <v>7.295523713281917E-3</v>
      </c>
    </row>
    <row r="28" spans="1:10" ht="40.049999999999997" customHeight="1">
      <c r="A28" s="573" t="str">
        <f>'PLANILHA '!A42</f>
        <v>3.1.6</v>
      </c>
      <c r="B28" s="101">
        <f>'PLANILHA '!B83</f>
        <v>41233</v>
      </c>
      <c r="C28" s="101" t="str">
        <f>'PLANILHA '!C83</f>
        <v>DER-ROD</v>
      </c>
      <c r="D28" s="438" t="str">
        <f>'PLANILHA '!D42</f>
        <v>Recuperação estrutural com uso de argamassa polimérica (espessura média=3,5 cm)</v>
      </c>
      <c r="E28" s="101" t="str">
        <f>'PLANILHA '!E83</f>
        <v>kg</v>
      </c>
      <c r="F28" s="101">
        <f>'PLANILHA '!F83</f>
        <v>23.676299999999998</v>
      </c>
      <c r="G28" s="101">
        <f>'PLANILHA '!G83</f>
        <v>0</v>
      </c>
      <c r="H28" s="101">
        <f>'PLANILHA '!H83</f>
        <v>764.36995958993475</v>
      </c>
      <c r="I28" s="314">
        <f>'PLANILHA '!I42</f>
        <v>32937.161678666766</v>
      </c>
      <c r="J28" s="574">
        <f t="shared" si="0"/>
        <v>6.8285399308432174E-3</v>
      </c>
    </row>
    <row r="29" spans="1:10" ht="40.049999999999997" customHeight="1">
      <c r="A29" s="573" t="str">
        <f>'PLANILHA '!A60</f>
        <v>3.3.6</v>
      </c>
      <c r="B29" s="101">
        <f>'PLANILHA '!B30</f>
        <v>41557</v>
      </c>
      <c r="C29" s="101" t="str">
        <f>'PLANILHA '!C30</f>
        <v>DER-ROD</v>
      </c>
      <c r="D29" s="438" t="str">
        <f>'PLANILHA '!D60</f>
        <v>Acabamento em concreto fresco (15,0 MPa), para pavimento, inclusive endurecedor químico
de superfície</v>
      </c>
      <c r="E29" s="101" t="str">
        <f>'PLANILHA '!E30</f>
        <v>m</v>
      </c>
      <c r="F29" s="101">
        <f>'PLANILHA '!F30</f>
        <v>30</v>
      </c>
      <c r="G29" s="101">
        <f>'PLANILHA '!G30</f>
        <v>0</v>
      </c>
      <c r="H29" s="101">
        <f>'PLANILHA '!H30</f>
        <v>230.24396341603435</v>
      </c>
      <c r="I29" s="314">
        <f>'PLANILHA '!I60</f>
        <v>28865.997185301461</v>
      </c>
      <c r="J29" s="574">
        <f t="shared" si="0"/>
        <v>5.9845051721960554E-3</v>
      </c>
    </row>
    <row r="30" spans="1:10" ht="40.049999999999997" customHeight="1">
      <c r="A30" s="573" t="str">
        <f>'PLANILHA '!A23</f>
        <v>2.9</v>
      </c>
      <c r="B30" s="101" t="str">
        <f>'PLANILHA '!B59</f>
        <v>COMP_02</v>
      </c>
      <c r="C30" s="101">
        <f>'PLANILHA '!C59</f>
        <v>0</v>
      </c>
      <c r="D30" s="438" t="str">
        <f>'PLANILHA '!D23</f>
        <v>Galpão em peças de madeira 8x8cm e contravent. de 5x7cm, cobertura de telhas de fibroc. de
6mm, incl. ponto e cabo de alimentação da máquina</v>
      </c>
      <c r="E30" s="101" t="str">
        <f>'PLANILHA '!E59</f>
        <v>m³</v>
      </c>
      <c r="F30" s="101">
        <f>'PLANILHA '!F59</f>
        <v>176.50600000000003</v>
      </c>
      <c r="G30" s="101">
        <f>'PLANILHA '!G59</f>
        <v>0</v>
      </c>
      <c r="H30" s="101">
        <f>'PLANILHA '!H59</f>
        <v>797.74849646453515</v>
      </c>
      <c r="I30" s="314">
        <f>'PLANILHA '!I23</f>
        <v>26907.994520621254</v>
      </c>
      <c r="J30" s="574">
        <f t="shared" si="0"/>
        <v>5.5785716096472789E-3</v>
      </c>
    </row>
    <row r="31" spans="1:10" ht="40.049999999999997" customHeight="1">
      <c r="A31" s="573" t="str">
        <f>'PLANILHA '!A38</f>
        <v>3.1.2</v>
      </c>
      <c r="B31" s="101">
        <f>'PLANILHA '!B81</f>
        <v>41201</v>
      </c>
      <c r="C31" s="101" t="str">
        <f>'PLANILHA '!C81</f>
        <v>DER-ROD</v>
      </c>
      <c r="D31" s="438" t="str">
        <f>'PLANILHA '!D38</f>
        <v>Demolição de concreto armado</v>
      </c>
      <c r="E31" s="101" t="str">
        <f>'PLANILHA '!E81</f>
        <v>m²</v>
      </c>
      <c r="F31" s="101">
        <f>'PLANILHA '!F81</f>
        <v>47.352599999999995</v>
      </c>
      <c r="G31" s="101">
        <f>'PLANILHA '!G81</f>
        <v>0</v>
      </c>
      <c r="H31" s="101">
        <f>'PLANILHA '!H81</f>
        <v>453.14811926866503</v>
      </c>
      <c r="I31" s="314">
        <f>'PLANILHA '!I38</f>
        <v>27967.1696577972</v>
      </c>
      <c r="J31" s="574">
        <f t="shared" si="0"/>
        <v>5.7981600425706546E-3</v>
      </c>
    </row>
    <row r="32" spans="1:10" ht="40.049999999999997" customHeight="1">
      <c r="A32" s="573" t="str">
        <f>'PLANILHA '!A102</f>
        <v>6.1.2</v>
      </c>
      <c r="B32" s="101"/>
      <c r="C32" s="101"/>
      <c r="D32" s="438" t="str">
        <f>'PLANILHA '!D102</f>
        <v>Sinalização vertical com chapa em esmalte sintético</v>
      </c>
      <c r="E32" s="101"/>
      <c r="F32" s="101"/>
      <c r="G32" s="101"/>
      <c r="H32" s="101"/>
      <c r="I32" s="314">
        <f>'PLANILHA '!I102</f>
        <v>25135.660988029238</v>
      </c>
      <c r="J32" s="574">
        <f t="shared" si="0"/>
        <v>5.2111310142448014E-3</v>
      </c>
    </row>
    <row r="33" spans="1:44" ht="40.049999999999997" customHeight="1">
      <c r="A33" s="573" t="str">
        <f>'PLANILHA '!A43</f>
        <v>3.1.7</v>
      </c>
      <c r="B33" s="101">
        <f>'PLANILHA '!B47</f>
        <v>40106</v>
      </c>
      <c r="C33" s="101" t="str">
        <f>'PLANILHA '!C47</f>
        <v>DER-ROD</v>
      </c>
      <c r="D33" s="438" t="str">
        <f>'PLANILHA '!D43</f>
        <v>Caixa coletora concreto armado H= 2,00 m, inclusive escavação</v>
      </c>
      <c r="E33" s="101" t="str">
        <f>'PLANILHA '!E47</f>
        <v>m³</v>
      </c>
      <c r="F33" s="101">
        <f>'PLANILHA '!F47</f>
        <v>1084.2749999999999</v>
      </c>
      <c r="G33" s="101">
        <f>'PLANILHA '!G47</f>
        <v>0</v>
      </c>
      <c r="H33" s="101">
        <f>'PLANILHA '!H47</f>
        <v>17.939529657692319</v>
      </c>
      <c r="I33" s="314">
        <f>'PLANILHA '!I43</f>
        <v>24985.024937436439</v>
      </c>
      <c r="J33" s="574">
        <f t="shared" si="0"/>
        <v>5.1799011136075624E-3</v>
      </c>
    </row>
    <row r="34" spans="1:44" ht="40.049999999999997" customHeight="1">
      <c r="A34" s="573" t="str">
        <f>'PLANILHA '!A69</f>
        <v>4.1</v>
      </c>
      <c r="B34" s="101">
        <f>'PLANILHA '!B16</f>
        <v>42201</v>
      </c>
      <c r="C34" s="101" t="str">
        <f>'PLANILHA '!C16</f>
        <v>DER-ROD</v>
      </c>
      <c r="D34" s="438" t="str">
        <f>'PLANILHA '!D69</f>
        <v>Andaime de madeira para altura até 7 m, compreendendo montagem e desmontagem</v>
      </c>
      <c r="E34" s="101" t="str">
        <f>'PLANILHA '!E16</f>
        <v>m²</v>
      </c>
      <c r="F34" s="101">
        <f>'PLANILHA '!F16</f>
        <v>682.5</v>
      </c>
      <c r="G34" s="101">
        <f>'PLANILHA '!G16</f>
        <v>0</v>
      </c>
      <c r="H34" s="101">
        <f>'PLANILHA '!H16</f>
        <v>8.9097664018973557</v>
      </c>
      <c r="I34" s="314">
        <f>'PLANILHA '!I69</f>
        <v>23736.007684429718</v>
      </c>
      <c r="J34" s="574">
        <f t="shared" si="0"/>
        <v>4.9209545695890877E-3</v>
      </c>
    </row>
    <row r="35" spans="1:44" ht="40.049999999999997" customHeight="1">
      <c r="A35" s="573" t="str">
        <f>'PLANILHA '!A49</f>
        <v>3.2.4</v>
      </c>
      <c r="B35" s="101">
        <f>'PLANILHA '!B96</f>
        <v>40238</v>
      </c>
      <c r="C35" s="101" t="str">
        <f>'PLANILHA '!C96</f>
        <v>DER-EDF</v>
      </c>
      <c r="D35" s="438" t="str">
        <f>'PLANILHA '!D49</f>
        <v>Solda com maçarico oxiacetileno de chapas de aço de 12,5 mm</v>
      </c>
      <c r="E35" s="101" t="str">
        <f>'PLANILHA '!E96</f>
        <v>m²</v>
      </c>
      <c r="F35" s="101">
        <f>'PLANILHA '!F96</f>
        <v>111</v>
      </c>
      <c r="G35" s="101">
        <f>'PLANILHA '!G96</f>
        <v>0</v>
      </c>
      <c r="H35" s="101">
        <f>'PLANILHA '!H96</f>
        <v>98.875383664692833</v>
      </c>
      <c r="I35" s="314">
        <f>'PLANILHA '!I49</f>
        <v>19015.806520602397</v>
      </c>
      <c r="J35" s="574">
        <f t="shared" si="0"/>
        <v>3.9423613792206515E-3</v>
      </c>
    </row>
    <row r="36" spans="1:44" ht="40.049999999999997" customHeight="1">
      <c r="A36" s="573" t="str">
        <f>'PLANILHA '!A81</f>
        <v>4.13</v>
      </c>
      <c r="B36" s="101">
        <f>'PLANILHA '!B79</f>
        <v>40376</v>
      </c>
      <c r="C36" s="101" t="str">
        <f>'PLANILHA '!C79</f>
        <v>DER-ROD</v>
      </c>
      <c r="D36" s="438" t="str">
        <f>'PLANILHA '!D81</f>
        <v>Recuperação estrutural com uso de argamassa polimérica (espessura média=3,5 cm)</v>
      </c>
      <c r="E36" s="101" t="str">
        <f>'PLANILHA '!E79</f>
        <v>kg</v>
      </c>
      <c r="F36" s="101">
        <f>'PLANILHA '!F79</f>
        <v>71.028899999999993</v>
      </c>
      <c r="G36" s="101">
        <f>'PLANILHA '!G79</f>
        <v>0</v>
      </c>
      <c r="H36" s="101">
        <f>'PLANILHA '!H79</f>
        <v>13.299651306984829</v>
      </c>
      <c r="I36" s="314">
        <f>'PLANILHA '!I81</f>
        <v>21457.741632481386</v>
      </c>
      <c r="J36" s="574">
        <f t="shared" si="0"/>
        <v>4.4486239279694709E-3</v>
      </c>
    </row>
    <row r="37" spans="1:44" ht="40.049999999999997" customHeight="1">
      <c r="A37" s="573" t="str">
        <f>'PLANILHA '!A47</f>
        <v>3.2.2</v>
      </c>
      <c r="B37" s="101">
        <f>'PLANILHA '!B46</f>
        <v>4915668</v>
      </c>
      <c r="C37" s="101" t="str">
        <f>'PLANILHA '!C46</f>
        <v>SICRO</v>
      </c>
      <c r="D37" s="438" t="str">
        <f>'PLANILHA '!D47</f>
        <v>Escavação, carga e transporte de material de 1º categoria</v>
      </c>
      <c r="E37" s="101" t="str">
        <f>'PLANILHA '!E46</f>
        <v>m³</v>
      </c>
      <c r="F37" s="101">
        <f>'PLANILHA '!F46</f>
        <v>40.3095</v>
      </c>
      <c r="G37" s="101">
        <f>'PLANILHA '!G46</f>
        <v>0</v>
      </c>
      <c r="H37" s="101">
        <f>'PLANILHA '!H46</f>
        <v>427.09529032713533</v>
      </c>
      <c r="I37" s="314">
        <f>'PLANILHA '!I47</f>
        <v>19451.383519594336</v>
      </c>
      <c r="J37" s="574">
        <f t="shared" si="0"/>
        <v>4.0326653027824618E-3</v>
      </c>
    </row>
    <row r="38" spans="1:44" ht="40.049999999999997" customHeight="1">
      <c r="A38" s="573" t="str">
        <f>'PLANILHA '!A21</f>
        <v>2.7</v>
      </c>
      <c r="B38" s="101">
        <f>'PLANILHA '!B105</f>
        <v>0</v>
      </c>
      <c r="C38" s="101">
        <f>'PLANILHA '!C105</f>
        <v>0</v>
      </c>
      <c r="D38" s="438" t="str">
        <f>'PLANILHA '!D21</f>
        <v>Aluguel de container tipo sanitário com 3 vasos sanitários, lavatório, mictório, 5 chuveiros, 2
venezianas e piso especial</v>
      </c>
      <c r="E38" s="101">
        <f>'PLANILHA '!E105</f>
        <v>0</v>
      </c>
      <c r="F38" s="101">
        <f>'PLANILHA '!F105</f>
        <v>0</v>
      </c>
      <c r="G38" s="101">
        <f>'PLANILHA '!G105</f>
        <v>0</v>
      </c>
      <c r="H38" s="101">
        <f>'PLANILHA '!H105</f>
        <v>0</v>
      </c>
      <c r="I38" s="314">
        <f>'PLANILHA '!I21</f>
        <v>18329.759426567336</v>
      </c>
      <c r="J38" s="574">
        <f t="shared" si="0"/>
        <v>3.8001299379762281E-3</v>
      </c>
    </row>
    <row r="39" spans="1:44" ht="40.049999999999997" customHeight="1">
      <c r="A39" s="573" t="str">
        <f>'PLANILHA '!A83</f>
        <v>4.15</v>
      </c>
      <c r="B39" s="101">
        <f>'PLANILHA '!B72</f>
        <v>41401</v>
      </c>
      <c r="C39" s="101" t="str">
        <f>'PLANILHA '!C72</f>
        <v>DER-ROD</v>
      </c>
      <c r="D39" s="438" t="str">
        <f>'PLANILHA '!D83</f>
        <v xml:space="preserve">Injeção de epóxi em fissuras, inclusive preparo e montagem de bicos de injeção </v>
      </c>
      <c r="E39" s="101" t="str">
        <f>'PLANILHA '!E72</f>
        <v>m²</v>
      </c>
      <c r="F39" s="101">
        <f>'PLANILHA '!F72</f>
        <v>88.001999999999995</v>
      </c>
      <c r="G39" s="101">
        <f>'PLANILHA '!G72</f>
        <v>0</v>
      </c>
      <c r="H39" s="101">
        <f>'PLANILHA '!H72</f>
        <v>7.0598149043092393</v>
      </c>
      <c r="I39" s="314">
        <f>'PLANILHA '!I83</f>
        <v>18097.45247423917</v>
      </c>
      <c r="J39" s="574">
        <f t="shared" si="0"/>
        <v>3.7519680072166379E-3</v>
      </c>
    </row>
    <row r="40" spans="1:44" ht="40.049999999999997" customHeight="1">
      <c r="A40" s="573" t="str">
        <f>'PLANILHA '!A84</f>
        <v>4.16</v>
      </c>
      <c r="B40" s="101" t="str">
        <f>'PLANILHA '!B62</f>
        <v>COMP_01</v>
      </c>
      <c r="C40" s="101">
        <f>'PLANILHA '!C62</f>
        <v>0</v>
      </c>
      <c r="D40" s="438" t="str">
        <f>'PLANILHA '!D84</f>
        <v>Pintura a cal em pontes (2 demãos)</v>
      </c>
      <c r="E40" s="101" t="str">
        <f>'PLANILHA '!E62</f>
        <v>und</v>
      </c>
      <c r="F40" s="101">
        <f>'PLANILHA '!F62</f>
        <v>46</v>
      </c>
      <c r="G40" s="101">
        <f>'PLANILHA '!G62</f>
        <v>0</v>
      </c>
      <c r="H40" s="101">
        <f>'PLANILHA '!H62</f>
        <v>24.333604336516807</v>
      </c>
      <c r="I40" s="314">
        <f>'PLANILHA '!I84</f>
        <v>17709.408091067256</v>
      </c>
      <c r="J40" s="574">
        <f t="shared" ref="J40:J71" si="1">I40/$I$93</f>
        <v>3.6715185564934723E-3</v>
      </c>
    </row>
    <row r="41" spans="1:44" ht="40.049999999999997" customHeight="1">
      <c r="A41" s="573" t="str">
        <f>'PLANILHA '!A107</f>
        <v>6.2.2</v>
      </c>
      <c r="B41" s="101"/>
      <c r="C41" s="101"/>
      <c r="D41" s="438" t="str">
        <f>'PLANILHA '!D107</f>
        <v>Pintura de setas e zebrados em material termoplástico - 5 anos ( por extrusão)</v>
      </c>
      <c r="E41" s="101"/>
      <c r="F41" s="101"/>
      <c r="G41" s="101"/>
      <c r="H41" s="101"/>
      <c r="I41" s="314">
        <f>'PLANILHA '!I107</f>
        <v>16833.158664756378</v>
      </c>
      <c r="J41" s="574">
        <f t="shared" si="1"/>
        <v>3.4898543239977567E-3</v>
      </c>
    </row>
    <row r="42" spans="1:44" ht="40.049999999999997" customHeight="1">
      <c r="A42" s="573" t="str">
        <f>'PLANILHA '!A20</f>
        <v>2.6</v>
      </c>
      <c r="B42" s="101">
        <f>'PLANILHA '!B23</f>
        <v>41528</v>
      </c>
      <c r="C42" s="101" t="str">
        <f>'PLANILHA '!C23</f>
        <v>DER-ROD</v>
      </c>
      <c r="D42" s="438" t="str">
        <f>'PLANILHA '!D20</f>
        <v>Aluguel de container tipo vestiário, 2 luminárias, piso especial e janela</v>
      </c>
      <c r="E42" s="101" t="str">
        <f>'PLANILHA '!E23</f>
        <v>m²</v>
      </c>
      <c r="F42" s="101">
        <f>'PLANILHA '!F23</f>
        <v>70</v>
      </c>
      <c r="G42" s="101">
        <f>'PLANILHA '!G23</f>
        <v>0</v>
      </c>
      <c r="H42" s="101">
        <f>'PLANILHA '!H23</f>
        <v>384.39992172316079</v>
      </c>
      <c r="I42" s="314">
        <f>'PLANILHA '!I20</f>
        <v>14666.335474975978</v>
      </c>
      <c r="J42" s="574">
        <f t="shared" si="1"/>
        <v>3.0406280421813739E-3</v>
      </c>
    </row>
    <row r="43" spans="1:44" s="2" customFormat="1" ht="40.049999999999997" customHeight="1">
      <c r="A43" s="573" t="str">
        <f>'PLANILHA '!A46</f>
        <v>3.2.1</v>
      </c>
      <c r="B43" s="101">
        <f>'PLANILHA '!B20</f>
        <v>41454</v>
      </c>
      <c r="C43" s="101" t="str">
        <f>'PLANILHA '!C20</f>
        <v>DER-ROD</v>
      </c>
      <c r="D43" s="438" t="str">
        <f>'PLANILHA '!D46</f>
        <v>Remoção manual de revestimento asfáltico</v>
      </c>
      <c r="E43" s="101" t="str">
        <f>'PLANILHA '!E20</f>
        <v>Mes</v>
      </c>
      <c r="F43" s="101">
        <f>'PLANILHA '!F20</f>
        <v>16</v>
      </c>
      <c r="G43" s="101">
        <f>'PLANILHA '!G20</f>
        <v>0</v>
      </c>
      <c r="H43" s="101">
        <f>'PLANILHA '!H20</f>
        <v>916.64596718599864</v>
      </c>
      <c r="I43" s="314">
        <f>'PLANILHA '!I46</f>
        <v>17215.997605441662</v>
      </c>
      <c r="J43" s="574">
        <f t="shared" si="1"/>
        <v>3.569224581187963E-3</v>
      </c>
      <c r="K43" s="566"/>
      <c r="L43" s="88"/>
      <c r="M43" s="37"/>
      <c r="N43" s="38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s="2" customFormat="1" ht="40.049999999999997" customHeight="1">
      <c r="A44" s="573" t="str">
        <f>'PLANILHA '!A25</f>
        <v>2.11</v>
      </c>
      <c r="B44" s="101">
        <f>'PLANILHA '!B24</f>
        <v>20709</v>
      </c>
      <c r="C44" s="101" t="str">
        <f>'PLANILHA '!C24</f>
        <v>DER-EDF</v>
      </c>
      <c r="D44" s="438" t="str">
        <f>'PLANILHA '!D25</f>
        <v>Rede de água c/ padrão de entrada d'água diâm. 3/4" conf. CESAN, incl. tubos e conexões p/
aliment., distrib., extravas. e limp., cons. o padrão a 25m</v>
      </c>
      <c r="E44" s="101" t="str">
        <f>'PLANILHA '!E24</f>
        <v>m²</v>
      </c>
      <c r="F44" s="101">
        <f>'PLANILHA '!F24</f>
        <v>105</v>
      </c>
      <c r="G44" s="101">
        <f>'PLANILHA '!G24</f>
        <v>0</v>
      </c>
      <c r="H44" s="101">
        <f>'PLANILHA '!H24</f>
        <v>384.4030256417816</v>
      </c>
      <c r="I44" s="314">
        <f>'PLANILHA '!I25</f>
        <v>8198.5350491084118</v>
      </c>
      <c r="J44" s="574">
        <f t="shared" si="1"/>
        <v>1.6997221710671876E-3</v>
      </c>
      <c r="K44" s="566"/>
      <c r="L44" s="88"/>
      <c r="M44" s="37"/>
      <c r="N44" s="38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</row>
    <row r="45" spans="1:44" s="2" customFormat="1" ht="40.049999999999997" customHeight="1">
      <c r="A45" s="573" t="str">
        <f>'PLANILHA '!A18</f>
        <v>2.4</v>
      </c>
      <c r="B45" s="101">
        <f>'PLANILHA '!B27</f>
        <v>41503</v>
      </c>
      <c r="C45" s="101" t="str">
        <f>'PLANILHA '!C27</f>
        <v>DER-ROD</v>
      </c>
      <c r="D45" s="438" t="str">
        <f>'PLANILHA '!D18</f>
        <v>Aluguel de container para almoxarifado</v>
      </c>
      <c r="E45" s="101" t="str">
        <f>'PLANILHA '!E27</f>
        <v>m</v>
      </c>
      <c r="F45" s="101">
        <f>'PLANILHA '!F27</f>
        <v>125</v>
      </c>
      <c r="G45" s="101">
        <f>'PLANILHA '!G27</f>
        <v>0</v>
      </c>
      <c r="H45" s="101">
        <f>'PLANILHA '!H27</f>
        <v>608.88403615210996</v>
      </c>
      <c r="I45" s="314">
        <f>'PLANILHA '!I18</f>
        <v>26212.112765393376</v>
      </c>
      <c r="J45" s="574">
        <f t="shared" si="1"/>
        <v>5.4343012441835613E-3</v>
      </c>
      <c r="K45" s="566"/>
      <c r="L45" s="88"/>
      <c r="M45" s="37"/>
      <c r="N45" s="38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s="2" customFormat="1" ht="40.049999999999997" customHeight="1">
      <c r="A46" s="573" t="str">
        <f>'PLANILHA '!A94</f>
        <v>5.9</v>
      </c>
      <c r="B46" s="101">
        <f>'PLANILHA '!B101</f>
        <v>42047</v>
      </c>
      <c r="C46" s="101" t="str">
        <f>'PLANILHA '!C101</f>
        <v>DER-ROD</v>
      </c>
      <c r="D46" s="438" t="str">
        <f>'PLANILHA '!D94</f>
        <v xml:space="preserve"> Concreto estrutural usinado Fck=40 MPa, tudo incluído, inclusive bombeamento.</v>
      </c>
      <c r="E46" s="101" t="str">
        <f>'PLANILHA '!E101</f>
        <v>und</v>
      </c>
      <c r="F46" s="101">
        <f>'PLANILHA '!F101</f>
        <v>6</v>
      </c>
      <c r="G46" s="101">
        <f>'PLANILHA '!G101</f>
        <v>0</v>
      </c>
      <c r="H46" s="101">
        <f>'PLANILHA '!H101</f>
        <v>56.598516088371525</v>
      </c>
      <c r="I46" s="314">
        <f>'PLANILHA '!I94</f>
        <v>15835.217999999999</v>
      </c>
      <c r="J46" s="574">
        <f t="shared" si="1"/>
        <v>3.2829610359730371E-3</v>
      </c>
      <c r="K46" s="566"/>
      <c r="L46" s="88"/>
      <c r="M46" s="37"/>
      <c r="N46" s="38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 s="2" customFormat="1" ht="40.049999999999997" customHeight="1">
      <c r="A47" s="573" t="str">
        <f>'PLANILHA '!A96</f>
        <v>5.11</v>
      </c>
      <c r="B47" s="101">
        <f>'PLANILHA '!B87</f>
        <v>41401</v>
      </c>
      <c r="C47" s="101" t="str">
        <f>'PLANILHA '!C87</f>
        <v>DER-ROD</v>
      </c>
      <c r="D47" s="438" t="str">
        <f>'PLANILHA '!D96</f>
        <v xml:space="preserve">Fôrma de chapa compensada resinada 12mm, levando-se em conta a utilização 3 vezes (incluido o material, corte,montagem, escoramento e desfôrma) </v>
      </c>
      <c r="E47" s="101" t="str">
        <f>'PLANILHA '!E87</f>
        <v>m²</v>
      </c>
      <c r="F47" s="101">
        <f>'PLANILHA '!F87</f>
        <v>12</v>
      </c>
      <c r="G47" s="101">
        <f>'PLANILHA '!G87</f>
        <v>0</v>
      </c>
      <c r="H47" s="101">
        <f>'PLANILHA '!H87</f>
        <v>7.0598149043092393</v>
      </c>
      <c r="I47" s="314">
        <f>'PLANILHA '!I96</f>
        <v>10975.167586780904</v>
      </c>
      <c r="J47" s="574">
        <f t="shared" si="1"/>
        <v>2.2753742670720378E-3</v>
      </c>
      <c r="K47" s="566"/>
      <c r="L47" s="88"/>
      <c r="M47" s="37"/>
      <c r="N47" s="38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 s="2" customFormat="1" ht="40.049999999999997" customHeight="1">
      <c r="A48" s="573" t="str">
        <f>'PLANILHA '!A32</f>
        <v>2.18</v>
      </c>
      <c r="B48" s="101">
        <f>'PLANILHA '!B69</f>
        <v>41027</v>
      </c>
      <c r="C48" s="101" t="str">
        <f>'PLANILHA '!C69</f>
        <v>DER-ROD</v>
      </c>
      <c r="D48" s="438" t="str">
        <f>'PLANILHA '!D32</f>
        <v>Placa de obra nas dimensões de 3,0 x 6,0 m, padrão DER-ES</v>
      </c>
      <c r="E48" s="101" t="str">
        <f>'PLANILHA '!E69</f>
        <v>m³</v>
      </c>
      <c r="F48" s="101">
        <f>'PLANILHA '!F69</f>
        <v>595.5</v>
      </c>
      <c r="G48" s="101">
        <f>'PLANILHA '!G69</f>
        <v>0</v>
      </c>
      <c r="H48" s="101">
        <f>'PLANILHA '!H69</f>
        <v>39.858954969655279</v>
      </c>
      <c r="I48" s="314">
        <f>'PLANILHA '!I32</f>
        <v>11346.122525007426</v>
      </c>
      <c r="J48" s="574">
        <f t="shared" si="1"/>
        <v>2.352280730140589E-3</v>
      </c>
      <c r="K48" s="566"/>
      <c r="L48" s="88"/>
      <c r="M48" s="37"/>
      <c r="N48" s="38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44" s="2" customFormat="1" ht="40.049999999999997" customHeight="1">
      <c r="A49" s="573" t="str">
        <f>'PLANILHA '!A31</f>
        <v>2.17</v>
      </c>
      <c r="B49" s="101">
        <f>'PLANILHA '!B56</f>
        <v>40323</v>
      </c>
      <c r="C49" s="101" t="str">
        <f>'PLANILHA '!C56</f>
        <v>DER-ROD</v>
      </c>
      <c r="D49" s="438" t="str">
        <f>'PLANILHA '!D31</f>
        <v>Cerca de arame farpado 4 fios com mourões a cada 2,0 m, esticadores de madeira, a cada 20,0 m, inclusive transporte de mourão e arame farpado)</v>
      </c>
      <c r="E49" s="101" t="str">
        <f>'PLANILHA '!E56</f>
        <v>m²</v>
      </c>
      <c r="F49" s="101">
        <f>'PLANILHA '!F56</f>
        <v>294.26</v>
      </c>
      <c r="G49" s="101">
        <f>'PLANILHA '!G56</f>
        <v>0</v>
      </c>
      <c r="H49" s="101">
        <f>'PLANILHA '!H56</f>
        <v>141.26629625095842</v>
      </c>
      <c r="I49" s="314">
        <f>'PLANILHA '!I31</f>
        <v>10303.729854674562</v>
      </c>
      <c r="J49" s="574">
        <f t="shared" si="1"/>
        <v>2.1361716421010885E-3</v>
      </c>
      <c r="K49" s="566"/>
      <c r="L49" s="88"/>
      <c r="M49" s="37"/>
      <c r="N49" s="38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</row>
    <row r="50" spans="1:44" s="2" customFormat="1" ht="40.049999999999997" customHeight="1">
      <c r="A50" s="573" t="str">
        <f>'PLANILHA '!A109</f>
        <v>6.2.4</v>
      </c>
      <c r="B50" s="101"/>
      <c r="C50" s="101"/>
      <c r="D50" s="438" t="str">
        <f>'PLANILHA '!D109</f>
        <v>Tachão refletivo birrefletorizado, fornecimento e aplicação</v>
      </c>
      <c r="E50" s="101"/>
      <c r="F50" s="101"/>
      <c r="G50" s="101"/>
      <c r="H50" s="101"/>
      <c r="I50" s="314">
        <f>'PLANILHA '!I109</f>
        <v>9185.7591658618512</v>
      </c>
      <c r="J50" s="574">
        <f t="shared" si="1"/>
        <v>1.9043937018964089E-3</v>
      </c>
      <c r="K50" s="566"/>
      <c r="L50" s="88"/>
      <c r="M50" s="37"/>
      <c r="N50" s="38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</row>
    <row r="51" spans="1:44" s="2" customFormat="1" ht="40.049999999999997" customHeight="1">
      <c r="A51" s="573" t="str">
        <f>'PLANILHA '!A50</f>
        <v>3.2.5</v>
      </c>
      <c r="B51" s="101">
        <f>'PLANILHA '!B94</f>
        <v>108477</v>
      </c>
      <c r="C51" s="101" t="str">
        <f>'PLANILHA '!C94</f>
        <v>DER-ROD</v>
      </c>
      <c r="D51" s="438" t="str">
        <f>'PLANILHA '!D50</f>
        <v>Chumbador de expansão controlada por torque para concreto D = 20 mm - fornecimento e instalação</v>
      </c>
      <c r="E51" s="101" t="str">
        <f>'PLANILHA '!E94</f>
        <v>m³</v>
      </c>
      <c r="F51" s="101">
        <f>'PLANILHA '!F94</f>
        <v>20.3</v>
      </c>
      <c r="G51" s="101">
        <f>'PLANILHA '!G94</f>
        <v>0</v>
      </c>
      <c r="H51" s="101">
        <f>'PLANILHA '!H94</f>
        <v>780.06</v>
      </c>
      <c r="I51" s="314">
        <f>'PLANILHA '!I50</f>
        <v>10587.681641967734</v>
      </c>
      <c r="J51" s="574">
        <f t="shared" si="1"/>
        <v>2.1950405919177814E-3</v>
      </c>
      <c r="K51" s="566"/>
      <c r="L51" s="88"/>
      <c r="M51" s="37"/>
      <c r="N51" s="38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</row>
    <row r="52" spans="1:44" s="2" customFormat="1" ht="40.049999999999997" customHeight="1">
      <c r="A52" s="573" t="str">
        <f>'PLANILHA '!A29</f>
        <v>2.15</v>
      </c>
      <c r="B52" s="101">
        <f>'PLANILHA '!B58</f>
        <v>108477</v>
      </c>
      <c r="C52" s="101" t="str">
        <f>'PLANILHA '!C58</f>
        <v>DER-ROD</v>
      </c>
      <c r="D52" s="438" t="str">
        <f>'PLANILHA '!D29</f>
        <v>Sistema separador de água e óleo</v>
      </c>
      <c r="E52" s="101" t="str">
        <f>'PLANILHA '!E58</f>
        <v>m³</v>
      </c>
      <c r="F52" s="101">
        <f>'PLANILHA '!F58</f>
        <v>61.426000000000002</v>
      </c>
      <c r="G52" s="101">
        <f>'PLANILHA '!G58</f>
        <v>0</v>
      </c>
      <c r="H52" s="101">
        <f>'PLANILHA '!H58</f>
        <v>780.06</v>
      </c>
      <c r="I52" s="314">
        <f>'PLANILHA '!I29</f>
        <v>8110.8273486470844</v>
      </c>
      <c r="J52" s="574">
        <f t="shared" si="1"/>
        <v>1.6815385904452263E-3</v>
      </c>
      <c r="K52" s="566"/>
      <c r="L52" s="88"/>
      <c r="M52" s="37"/>
      <c r="N52" s="38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</row>
    <row r="53" spans="1:44" s="2" customFormat="1" ht="40.049999999999997" customHeight="1">
      <c r="A53" s="575" t="str">
        <f>'PLANILHA '!A104</f>
        <v>6.1.4</v>
      </c>
      <c r="B53" s="101"/>
      <c r="C53" s="101"/>
      <c r="D53" s="565" t="str">
        <f>'PLANILHA '!D104</f>
        <v>Sinalização noturna ( fio com lâmpada e balde ), fornecimento e instalação</v>
      </c>
      <c r="E53" s="101"/>
      <c r="F53" s="101"/>
      <c r="G53" s="101"/>
      <c r="H53" s="101"/>
      <c r="I53" s="314">
        <f>'PLANILHA '!I104</f>
        <v>7207.8110241162876</v>
      </c>
      <c r="J53" s="574">
        <f t="shared" si="1"/>
        <v>1.4943250384573605E-3</v>
      </c>
      <c r="K53" s="566"/>
      <c r="L53" s="88"/>
      <c r="M53" s="37"/>
      <c r="N53" s="38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</row>
    <row r="54" spans="1:44" s="2" customFormat="1" ht="40.049999999999997" customHeight="1">
      <c r="A54" s="573" t="str">
        <f>'PLANILHA '!A28</f>
        <v>2.14</v>
      </c>
      <c r="B54" s="101">
        <f>'PLANILHA '!B108</f>
        <v>40936</v>
      </c>
      <c r="C54" s="101" t="str">
        <f>'PLANILHA '!C108</f>
        <v>DER-ROD</v>
      </c>
      <c r="D54" s="438" t="str">
        <f>'PLANILHA '!D28</f>
        <v>Reservatório de fibra de vidro de 1000 L, incl. suporte em madeira de 7x12cm, elevado de 4m</v>
      </c>
      <c r="E54" s="101" t="str">
        <f>'PLANILHA '!E108</f>
        <v>m²</v>
      </c>
      <c r="F54" s="101">
        <f>'PLANILHA '!F108</f>
        <v>40</v>
      </c>
      <c r="G54" s="101">
        <f>'PLANILHA '!G108</f>
        <v>0</v>
      </c>
      <c r="H54" s="101">
        <f>'PLANILHA '!H108</f>
        <v>983.75420772823566</v>
      </c>
      <c r="I54" s="314">
        <f>'PLANILHA '!I28</f>
        <v>6951.6977389474951</v>
      </c>
      <c r="J54" s="574">
        <f t="shared" si="1"/>
        <v>1.4412275733006322E-3</v>
      </c>
      <c r="K54" s="566"/>
      <c r="L54" s="88"/>
      <c r="M54" s="37"/>
      <c r="N54" s="38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</row>
    <row r="55" spans="1:44" s="2" customFormat="1" ht="40.049999999999997" customHeight="1">
      <c r="A55" s="573" t="str">
        <f>'PLANILHA '!A30</f>
        <v>2.16</v>
      </c>
      <c r="B55" s="101">
        <f>'PLANILHA '!B42</f>
        <v>41201</v>
      </c>
      <c r="C55" s="101" t="str">
        <f>'PLANILHA '!C42</f>
        <v>DER-ROD</v>
      </c>
      <c r="D55" s="438" t="str">
        <f>'PLANILHA '!D30</f>
        <v>Canaleta de concreto retangular com grelha em barra de aço</v>
      </c>
      <c r="E55" s="101" t="str">
        <f>'PLANILHA '!E42</f>
        <v>m²</v>
      </c>
      <c r="F55" s="101">
        <f>'PLANILHA '!F42</f>
        <v>72.685199999999995</v>
      </c>
      <c r="G55" s="101">
        <f>'PLANILHA '!G42</f>
        <v>0</v>
      </c>
      <c r="H55" s="101">
        <f>'PLANILHA '!H42</f>
        <v>453.14811926866503</v>
      </c>
      <c r="I55" s="314">
        <f>'PLANILHA '!I30</f>
        <v>6907.3189024810308</v>
      </c>
      <c r="J55" s="574">
        <f t="shared" si="1"/>
        <v>1.4320269427225611E-3</v>
      </c>
      <c r="K55" s="566"/>
      <c r="L55" s="88"/>
      <c r="M55" s="37"/>
      <c r="N55" s="38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</row>
    <row r="56" spans="1:44" s="2" customFormat="1" ht="40.049999999999997" customHeight="1">
      <c r="A56" s="573" t="str">
        <f>'PLANILHA '!A71</f>
        <v>4.3</v>
      </c>
      <c r="B56" s="101">
        <f>'PLANILHA '!B64</f>
        <v>307084</v>
      </c>
      <c r="C56" s="101" t="str">
        <f>'PLANILHA '!C64</f>
        <v>SICRO</v>
      </c>
      <c r="D56" s="438" t="str">
        <f>'PLANILHA '!D71</f>
        <v>Dreno de PVC D = 100 mm</v>
      </c>
      <c r="E56" s="101" t="str">
        <f>'PLANILHA '!E64</f>
        <v>m</v>
      </c>
      <c r="F56" s="101">
        <f>'PLANILHA '!F64</f>
        <v>90.4</v>
      </c>
      <c r="G56" s="101">
        <f>'PLANILHA '!G64</f>
        <v>0</v>
      </c>
      <c r="H56" s="101">
        <f>'PLANILHA '!H64</f>
        <v>37.710267304393945</v>
      </c>
      <c r="I56" s="314">
        <f>'PLANILHA '!I71</f>
        <v>6873.6560050618527</v>
      </c>
      <c r="J56" s="574">
        <f t="shared" si="1"/>
        <v>1.4250479430911625E-3</v>
      </c>
      <c r="K56" s="566"/>
      <c r="L56" s="88"/>
      <c r="M56" s="37"/>
      <c r="N56" s="38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</row>
    <row r="57" spans="1:44" s="2" customFormat="1" ht="40.049999999999997" customHeight="1">
      <c r="A57" s="573" t="str">
        <f>'PLANILHA '!A97</f>
        <v>5.12</v>
      </c>
      <c r="B57" s="101">
        <f>'PLANILHA '!B98</f>
        <v>41221</v>
      </c>
      <c r="C57" s="101" t="str">
        <f>'PLANILHA '!C98</f>
        <v>DER-ROD</v>
      </c>
      <c r="D57" s="438" t="str">
        <f>'PLANILHA '!D97</f>
        <v>Pintura impermeabilizante com igolflex ou equivalente a 3 demãos</v>
      </c>
      <c r="E57" s="101" t="str">
        <f>'PLANILHA '!E98</f>
        <v>m²</v>
      </c>
      <c r="F57" s="101">
        <f>'PLANILHA '!F98</f>
        <v>21</v>
      </c>
      <c r="G57" s="101">
        <f>'PLANILHA '!G98</f>
        <v>0</v>
      </c>
      <c r="H57" s="101">
        <f>'PLANILHA '!H98</f>
        <v>5.5598542305891456</v>
      </c>
      <c r="I57" s="314">
        <f>'PLANILHA '!I97</f>
        <v>6383.5479288170036</v>
      </c>
      <c r="J57" s="574">
        <f t="shared" si="1"/>
        <v>1.3234386240576295E-3</v>
      </c>
      <c r="K57" s="566"/>
      <c r="L57" s="88"/>
      <c r="M57" s="37"/>
      <c r="N57" s="38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</row>
    <row r="58" spans="1:44" s="2" customFormat="1" ht="40.049999999999997" customHeight="1">
      <c r="A58" s="573" t="str">
        <f>'PLANILHA '!A40</f>
        <v>3.1.4</v>
      </c>
      <c r="B58" s="101">
        <f>'PLANILHA '!B107</f>
        <v>42524</v>
      </c>
      <c r="C58" s="101" t="str">
        <f>'PLANILHA '!C107</f>
        <v>DER-ROD</v>
      </c>
      <c r="D58" s="438" t="str">
        <f>'PLANILHA '!D40</f>
        <v>Corte em concreto com discos diamantados para pisos e lajes profundidade de corte 5 cm</v>
      </c>
      <c r="E58" s="101" t="str">
        <f>'PLANILHA '!E107</f>
        <v>m²</v>
      </c>
      <c r="F58" s="101">
        <f>'PLANILHA '!F107</f>
        <v>160</v>
      </c>
      <c r="G58" s="101">
        <f>'PLANILHA '!G107</f>
        <v>0</v>
      </c>
      <c r="H58" s="101">
        <f>'PLANILHA '!H107</f>
        <v>105.20724165472735</v>
      </c>
      <c r="I58" s="314">
        <f>'PLANILHA '!I40</f>
        <v>11677.203330710225</v>
      </c>
      <c r="J58" s="574">
        <f t="shared" si="1"/>
        <v>2.420920478888023E-3</v>
      </c>
      <c r="K58" s="566"/>
      <c r="L58" s="88"/>
      <c r="M58" s="37"/>
      <c r="N58" s="38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</row>
    <row r="59" spans="1:44" s="2" customFormat="1" ht="40.049999999999997" customHeight="1">
      <c r="A59" s="573" t="str">
        <f>'PLANILHA '!A103</f>
        <v>6.1.3</v>
      </c>
      <c r="B59" s="101"/>
      <c r="C59" s="101"/>
      <c r="D59" s="438" t="str">
        <f>'PLANILHA '!D103</f>
        <v>Tela de proteção de segurança de PVC cor laranja com suporte para sinalização de obras</v>
      </c>
      <c r="E59" s="101"/>
      <c r="F59" s="101"/>
      <c r="G59" s="101"/>
      <c r="H59" s="101"/>
      <c r="I59" s="314">
        <f>'PLANILHA '!I103</f>
        <v>6085.8404401736589</v>
      </c>
      <c r="J59" s="574">
        <f t="shared" si="1"/>
        <v>1.261717839074847E-3</v>
      </c>
      <c r="K59" s="566"/>
      <c r="L59" s="88"/>
      <c r="M59" s="37"/>
      <c r="N59" s="38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</row>
    <row r="60" spans="1:44" s="2" customFormat="1" ht="40.049999999999997" customHeight="1">
      <c r="A60" s="573" t="str">
        <f>'PLANILHA '!A16</f>
        <v>2.2</v>
      </c>
      <c r="B60" s="101">
        <f>'PLANILHA '!B22</f>
        <v>41531</v>
      </c>
      <c r="C60" s="101" t="str">
        <f>'PLANILHA '!C22</f>
        <v>DER-ROD</v>
      </c>
      <c r="D60" s="438" t="str">
        <f>'PLANILHA '!D16</f>
        <v>Hidrossemeadura simples em terrenos planos</v>
      </c>
      <c r="E60" s="101" t="str">
        <f>'PLANILHA '!E22</f>
        <v>m²</v>
      </c>
      <c r="F60" s="101">
        <f>'PLANILHA '!F22</f>
        <v>215</v>
      </c>
      <c r="G60" s="101">
        <f>'PLANILHA '!G22</f>
        <v>0</v>
      </c>
      <c r="H60" s="101">
        <f>'PLANILHA '!H22</f>
        <v>760.06007258744569</v>
      </c>
      <c r="I60" s="314">
        <f>'PLANILHA '!I16</f>
        <v>6080.9155692949453</v>
      </c>
      <c r="J60" s="574">
        <f t="shared" si="1"/>
        <v>1.2606968137121389E-3</v>
      </c>
      <c r="K60" s="566"/>
      <c r="L60" s="88"/>
      <c r="M60" s="37"/>
      <c r="N60" s="38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</row>
    <row r="61" spans="1:44" s="2" customFormat="1" ht="40.049999999999997" customHeight="1">
      <c r="A61" s="573" t="str">
        <f>'PLANILHA '!A77</f>
        <v>4.9</v>
      </c>
      <c r="B61" s="101">
        <f>'PLANILHA '!B61</f>
        <v>100394</v>
      </c>
      <c r="C61" s="101" t="str">
        <f>'PLANILHA '!C61</f>
        <v>DER-ROD</v>
      </c>
      <c r="D61" s="438" t="str">
        <f>'PLANILHA '!D77</f>
        <v>Jateamento de chapa de aço com uso de granalhas de aço grau sa 2 1/2</v>
      </c>
      <c r="E61" s="101" t="str">
        <f>'PLANILHA '!E61</f>
        <v>kg</v>
      </c>
      <c r="F61" s="101">
        <f>'PLANILHA '!F61</f>
        <v>79.090909090909079</v>
      </c>
      <c r="G61" s="101">
        <f>'PLANILHA '!G61</f>
        <v>0</v>
      </c>
      <c r="H61" s="101">
        <f>'PLANILHA '!H61</f>
        <v>15.549592317564969</v>
      </c>
      <c r="I61" s="314">
        <f>'PLANILHA '!I77</f>
        <v>5938.6388162803505</v>
      </c>
      <c r="J61" s="574">
        <f t="shared" si="1"/>
        <v>1.2311999645704551E-3</v>
      </c>
      <c r="K61" s="561"/>
      <c r="L61" s="129"/>
      <c r="M61" s="130"/>
      <c r="N61" s="38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</row>
    <row r="62" spans="1:44" s="2" customFormat="1" ht="40.049999999999997" customHeight="1">
      <c r="A62" s="573" t="str">
        <f>'PLANILHA '!A76</f>
        <v>4.8</v>
      </c>
      <c r="B62" s="101">
        <f>'PLANILHA '!B41</f>
        <v>40806</v>
      </c>
      <c r="C62" s="101" t="str">
        <f>'PLANILHA '!C41</f>
        <v>DER-EDF</v>
      </c>
      <c r="D62" s="438" t="str">
        <f>'PLANILHA '!D76</f>
        <v>Limpeza em superfície de concreto com jateamento d'água sob pressão</v>
      </c>
      <c r="E62" s="101" t="str">
        <f>'PLANILHA '!E41</f>
        <v>m²</v>
      </c>
      <c r="F62" s="101">
        <f>'PLANILHA '!F41</f>
        <v>72.685199999999995</v>
      </c>
      <c r="G62" s="101">
        <f>'PLANILHA '!G41</f>
        <v>0</v>
      </c>
      <c r="H62" s="101">
        <f>'PLANILHA '!H41</f>
        <v>29.32472715822394</v>
      </c>
      <c r="I62" s="314">
        <f>'PLANILHA '!I76</f>
        <v>5488.811643198429</v>
      </c>
      <c r="J62" s="574">
        <f t="shared" si="1"/>
        <v>1.1379416916404677E-3</v>
      </c>
      <c r="K62" s="561"/>
      <c r="L62" s="129"/>
      <c r="M62" s="130"/>
      <c r="N62" s="38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</row>
    <row r="63" spans="1:44" s="2" customFormat="1" ht="40.049999999999997" customHeight="1">
      <c r="A63" s="573" t="str">
        <f>'PLANILHA '!A95</f>
        <v>5.10</v>
      </c>
      <c r="B63" s="101" t="str">
        <f>'PLANILHA '!B86</f>
        <v>COMP_05</v>
      </c>
      <c r="C63" s="101">
        <f>'PLANILHA '!C86</f>
        <v>0</v>
      </c>
      <c r="D63" s="438" t="str">
        <f>'PLANILHA '!D95</f>
        <v>Aço CA-50, fornecimento, dobragem e colocação nas formas (preço médio das bitolas)</v>
      </c>
      <c r="E63" s="101" t="str">
        <f>'PLANILHA '!E86</f>
        <v>m</v>
      </c>
      <c r="F63" s="101">
        <f>'PLANILHA '!F86</f>
        <v>7</v>
      </c>
      <c r="G63" s="101">
        <f>'PLANILHA '!G86</f>
        <v>0</v>
      </c>
      <c r="H63" s="101">
        <f>'PLANILHA '!H86</f>
        <v>29.95832870632719</v>
      </c>
      <c r="I63" s="314">
        <f>'PLANILHA '!I95</f>
        <v>4775.7838784172791</v>
      </c>
      <c r="J63" s="574">
        <f t="shared" si="1"/>
        <v>9.9011661153462619E-4</v>
      </c>
      <c r="K63" s="561"/>
      <c r="L63" s="129"/>
      <c r="M63" s="130"/>
      <c r="N63" s="38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</row>
    <row r="64" spans="1:44" s="2" customFormat="1" ht="40.049999999999997" customHeight="1">
      <c r="A64" s="573" t="str">
        <f>'PLANILHA '!A33</f>
        <v>2.19</v>
      </c>
      <c r="B64" s="101">
        <f>'PLANILHA '!B38</f>
        <v>1600438</v>
      </c>
      <c r="C64" s="101" t="str">
        <f>'PLANILHA '!C38</f>
        <v>SICRO</v>
      </c>
      <c r="D64" s="438" t="str">
        <f>'PLANILHA '!D33</f>
        <v>Pó de pedra inclusive fornecimento, espalhamento e transporte</v>
      </c>
      <c r="E64" s="101" t="str">
        <f>'PLANILHA '!E38</f>
        <v>m³</v>
      </c>
      <c r="F64" s="101">
        <f>'PLANILHA '!F38</f>
        <v>37.657959999999996</v>
      </c>
      <c r="G64" s="101">
        <f>'PLANILHA '!G38</f>
        <v>0</v>
      </c>
      <c r="H64" s="101">
        <f>'PLANILHA '!H38</f>
        <v>742.66289671020957</v>
      </c>
      <c r="I64" s="314">
        <f>'PLANILHA '!I33</f>
        <v>4357.9107433926738</v>
      </c>
      <c r="J64" s="574">
        <f t="shared" si="1"/>
        <v>9.0348305712030248E-4</v>
      </c>
      <c r="K64" s="561"/>
      <c r="L64" s="129"/>
      <c r="M64" s="130"/>
      <c r="N64" s="38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</row>
    <row r="65" spans="1:44" s="2" customFormat="1" ht="40.049999999999997" customHeight="1">
      <c r="A65" s="573" t="str">
        <f>'PLANILHA '!A106</f>
        <v>6.2.1</v>
      </c>
      <c r="B65" s="101"/>
      <c r="C65" s="101"/>
      <c r="D65" s="438" t="str">
        <f>'PLANILHA '!D106</f>
        <v>Sinalização horizontal TMD=600, vida útil 2 a 3 anos, taxa=0,80 L/m²</v>
      </c>
      <c r="E65" s="101"/>
      <c r="F65" s="101"/>
      <c r="G65" s="101"/>
      <c r="H65" s="101"/>
      <c r="I65" s="314">
        <f>'PLANILHA '!I106</f>
        <v>4155.0910609611547</v>
      </c>
      <c r="J65" s="574">
        <f t="shared" si="1"/>
        <v>8.6143443393424325E-4</v>
      </c>
      <c r="K65" s="561"/>
      <c r="L65" s="129"/>
      <c r="M65" s="130"/>
      <c r="N65" s="38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</row>
    <row r="66" spans="1:44" s="2" customFormat="1" ht="40.049999999999997" customHeight="1">
      <c r="A66" s="573" t="str">
        <f>'PLANILHA '!A64</f>
        <v>3.3.10</v>
      </c>
      <c r="B66" s="101" t="str">
        <f>'PLANILHA '!B40</f>
        <v>3R 10 61 10 00 00 01 10 26</v>
      </c>
      <c r="C66" s="101" t="str">
        <f>'PLANILHA '!C40</f>
        <v>TCPO</v>
      </c>
      <c r="D66" s="438" t="str">
        <f>'PLANILHA '!D64</f>
        <v>Lábios poliméricos em junta de pavimento de concreto - L = 20 mm e H = 30 mm - confecção e assentamento</v>
      </c>
      <c r="E66" s="101" t="str">
        <f>'PLANILHA '!E40</f>
        <v>m</v>
      </c>
      <c r="F66" s="101">
        <f>'PLANILHA '!F40</f>
        <v>313.65599999999995</v>
      </c>
      <c r="G66" s="101">
        <f>'PLANILHA '!G40</f>
        <v>0</v>
      </c>
      <c r="H66" s="101">
        <f>'PLANILHA '!H40</f>
        <v>37.229331913657724</v>
      </c>
      <c r="I66" s="314">
        <f>'PLANILHA '!I64</f>
        <v>3409.008164317213</v>
      </c>
      <c r="J66" s="574">
        <f t="shared" si="1"/>
        <v>7.0675635629186668E-4</v>
      </c>
      <c r="K66" s="561"/>
      <c r="L66" s="129"/>
      <c r="M66" s="130"/>
      <c r="N66" s="38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</row>
    <row r="67" spans="1:44" s="2" customFormat="1" ht="40.049999999999997" customHeight="1">
      <c r="A67" s="573" t="str">
        <f>'PLANILHA '!A39</f>
        <v>3.1.3</v>
      </c>
      <c r="B67" s="101">
        <f>'PLANILHA '!B21</f>
        <v>41580</v>
      </c>
      <c r="C67" s="101" t="str">
        <f>'PLANILHA '!C21</f>
        <v>DER-ROD</v>
      </c>
      <c r="D67" s="438" t="str">
        <f>'PLANILHA '!D39</f>
        <v>CORTE COM MACARICO MANUAL DE OXIACETILENO,EM CHAPA DE ACO NA ESPESSURA DE 1/2" Observacao: 3%-DESGASTE DE FERRAMENTAS E EPI</v>
      </c>
      <c r="E67" s="101" t="str">
        <f>'PLANILHA '!E21</f>
        <v>Mes</v>
      </c>
      <c r="F67" s="101">
        <f>'PLANILHA '!F21</f>
        <v>16</v>
      </c>
      <c r="G67" s="101">
        <f>'PLANILHA '!G21</f>
        <v>0</v>
      </c>
      <c r="H67" s="101">
        <f>'PLANILHA '!H21</f>
        <v>1145.6099641604585</v>
      </c>
      <c r="I67" s="314">
        <f>'PLANILHA '!I39</f>
        <v>3375.6115175174214</v>
      </c>
      <c r="J67" s="574">
        <f t="shared" si="1"/>
        <v>6.9983255580008505E-4</v>
      </c>
      <c r="K67" s="561"/>
      <c r="L67" s="129"/>
      <c r="M67" s="130"/>
      <c r="N67" s="38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</row>
    <row r="68" spans="1:44" s="2" customFormat="1" ht="40.049999999999997" customHeight="1">
      <c r="A68" s="573" t="str">
        <f>'PLANILHA '!A52</f>
        <v>3.2.7</v>
      </c>
      <c r="B68" s="101">
        <f>'PLANILHA '!B50</f>
        <v>3807865</v>
      </c>
      <c r="C68" s="101" t="str">
        <f>'PLANILHA '!C50</f>
        <v>SICRO</v>
      </c>
      <c r="D68" s="438" t="str">
        <f>'PLANILHA '!D52</f>
        <v>Pó de pedra inclusive fornecimento, espalhamento e transporte</v>
      </c>
      <c r="E68" s="101" t="str">
        <f>'PLANILHA '!E50</f>
        <v>und</v>
      </c>
      <c r="F68" s="101">
        <f>'PLANILHA '!F50</f>
        <v>248</v>
      </c>
      <c r="G68" s="101">
        <f>'PLANILHA '!G50</f>
        <v>0</v>
      </c>
      <c r="H68" s="101">
        <f>'PLANILHA '!H50</f>
        <v>42.69226468535377</v>
      </c>
      <c r="I68" s="314">
        <f>'PLANILHA '!I52</f>
        <v>2825.4203025447582</v>
      </c>
      <c r="J68" s="574">
        <f t="shared" si="1"/>
        <v>5.8576678663354003E-4</v>
      </c>
      <c r="K68" s="561"/>
      <c r="L68" s="129"/>
      <c r="M68" s="130"/>
      <c r="N68" s="38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</row>
    <row r="69" spans="1:44" s="2" customFormat="1" ht="40.049999999999997" customHeight="1">
      <c r="A69" s="573" t="str">
        <f>'PLANILHA '!A65</f>
        <v>3.3.11</v>
      </c>
      <c r="B69" s="101">
        <f>'PLANILHA '!B76</f>
        <v>102069</v>
      </c>
      <c r="C69" s="101" t="str">
        <f>'PLANILHA '!C76</f>
        <v>DER-ROD</v>
      </c>
      <c r="D69" s="438" t="str">
        <f>'PLANILHA '!D65</f>
        <v>Dreno de PVC D = 100 mm</v>
      </c>
      <c r="E69" s="101" t="str">
        <f>'PLANILHA '!E76</f>
        <v>m²</v>
      </c>
      <c r="F69" s="101">
        <f>'PLANILHA '!F76</f>
        <v>1025.973</v>
      </c>
      <c r="G69" s="101">
        <f>'PLANILHA '!G76</f>
        <v>0</v>
      </c>
      <c r="H69" s="101">
        <f>'PLANILHA '!H76</f>
        <v>5.349859736268332</v>
      </c>
      <c r="I69" s="314">
        <f>'PLANILHA '!I65</f>
        <v>2811.8862773826359</v>
      </c>
      <c r="J69" s="574">
        <f t="shared" si="1"/>
        <v>5.8296090942571593E-4</v>
      </c>
      <c r="K69" s="561"/>
      <c r="L69" s="129"/>
      <c r="M69" s="130"/>
      <c r="N69" s="38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</row>
    <row r="70" spans="1:44" s="2" customFormat="1" ht="40.049999999999997" customHeight="1">
      <c r="A70" s="573" t="str">
        <f>'PLANILHA '!A90</f>
        <v>5.5</v>
      </c>
      <c r="B70" s="101">
        <f>'PLANILHA '!B70</f>
        <v>41028</v>
      </c>
      <c r="C70" s="101" t="str">
        <f>'PLANILHA '!C70</f>
        <v>DER-ROD</v>
      </c>
      <c r="D70" s="438" t="str">
        <f>'PLANILHA '!D90</f>
        <v>Escavação, carga e transporte de material de 1º categoria</v>
      </c>
      <c r="E70" s="101" t="str">
        <f>'PLANILHA '!E70</f>
        <v>m²</v>
      </c>
      <c r="F70" s="101">
        <f>'PLANILHA '!F70</f>
        <v>71.099999999999994</v>
      </c>
      <c r="G70" s="101">
        <f>'PLANILHA '!G70</f>
        <v>0</v>
      </c>
      <c r="H70" s="101">
        <f>'PLANILHA '!H70</f>
        <v>5.0298681258747138</v>
      </c>
      <c r="I70" s="314">
        <f>'PLANILHA '!I90</f>
        <v>2637.1108596807708</v>
      </c>
      <c r="J70" s="574">
        <f t="shared" si="1"/>
        <v>5.4672642965024733E-4</v>
      </c>
      <c r="K70" s="561"/>
      <c r="L70" s="129"/>
      <c r="M70" s="130"/>
      <c r="N70" s="38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</row>
    <row r="71" spans="1:44" s="2" customFormat="1" ht="40.049999999999997" customHeight="1">
      <c r="A71" s="573" t="str">
        <f>'PLANILHA '!A41</f>
        <v>3.1.5</v>
      </c>
      <c r="B71" s="101">
        <f>'PLANILHA '!B49</f>
        <v>1416257</v>
      </c>
      <c r="C71" s="101" t="str">
        <f>'PLANILHA '!C49</f>
        <v>SICRO</v>
      </c>
      <c r="D71" s="438" t="str">
        <f>'PLANILHA '!D41</f>
        <v>Limpeza de aço com lixamento e escovação com escova de aço, até a completa remoção de partículas soltas, materiais indesejáveis e corrosão</v>
      </c>
      <c r="E71" s="101" t="str">
        <f>'PLANILHA '!E49</f>
        <v>m</v>
      </c>
      <c r="F71" s="101">
        <f>'PLANILHA '!F49</f>
        <v>81.84</v>
      </c>
      <c r="G71" s="101">
        <f>'PLANILHA '!G49</f>
        <v>0</v>
      </c>
      <c r="H71" s="101">
        <f>'PLANILHA '!H49</f>
        <v>232.35345210902244</v>
      </c>
      <c r="I71" s="314">
        <f>'PLANILHA '!I41</f>
        <v>2131.4736584409384</v>
      </c>
      <c r="J71" s="574">
        <f t="shared" si="1"/>
        <v>4.4189760885290642E-4</v>
      </c>
      <c r="K71" s="561"/>
      <c r="L71" s="129"/>
      <c r="M71" s="130"/>
      <c r="N71" s="38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</row>
    <row r="72" spans="1:44" s="2" customFormat="1" ht="40.049999999999997" customHeight="1">
      <c r="A72" s="573" t="str">
        <f>'PLANILHA '!A73</f>
        <v>4.5</v>
      </c>
      <c r="B72" s="101">
        <f>'PLANILHA '!B65</f>
        <v>40637</v>
      </c>
      <c r="C72" s="101" t="str">
        <f>'PLANILHA '!C65</f>
        <v>DER-ROD</v>
      </c>
      <c r="D72" s="438" t="str">
        <f>'PLANILHA '!D73</f>
        <v>Colchão drenante de brita 2 inclusive fornecimento, espalhamento, compactação e transporte da brita</v>
      </c>
      <c r="E72" s="101" t="str">
        <f>'PLANILHA '!E65</f>
        <v>und</v>
      </c>
      <c r="F72" s="101">
        <f>'PLANILHA '!F65</f>
        <v>36</v>
      </c>
      <c r="G72" s="101">
        <f>'PLANILHA '!G65</f>
        <v>0</v>
      </c>
      <c r="H72" s="101">
        <f>'PLANILHA '!H65</f>
        <v>78.107952149517658</v>
      </c>
      <c r="I72" s="314">
        <f>'PLANILHA '!I73</f>
        <v>1734.6939444345378</v>
      </c>
      <c r="J72" s="574">
        <f t="shared" ref="J72:J92" si="2">I72/$I$93</f>
        <v>3.5963714733305E-4</v>
      </c>
      <c r="K72" s="561"/>
      <c r="L72" s="129"/>
      <c r="M72" s="130"/>
      <c r="N72" s="38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</row>
    <row r="73" spans="1:44" s="2" customFormat="1" ht="40.049999999999997" customHeight="1">
      <c r="A73" s="573" t="str">
        <f>'PLANILHA '!A51</f>
        <v>3.2.6</v>
      </c>
      <c r="B73" s="101">
        <f>'PLANILHA '!B25</f>
        <v>41501</v>
      </c>
      <c r="C73" s="101" t="str">
        <f>'PLANILHA '!C25</f>
        <v>DER-ROD</v>
      </c>
      <c r="D73" s="438" t="str">
        <f>'PLANILHA '!D51</f>
        <v xml:space="preserve"> Fornecimento e aplicação de adesivo estrutural à base de resina epóxi</v>
      </c>
      <c r="E73" s="101" t="str">
        <f>'PLANILHA '!E25</f>
        <v>m</v>
      </c>
      <c r="F73" s="101">
        <f>'PLANILHA '!F25</f>
        <v>125</v>
      </c>
      <c r="G73" s="101">
        <f>'PLANILHA '!G25</f>
        <v>0</v>
      </c>
      <c r="H73" s="101">
        <f>'PLANILHA '!H25</f>
        <v>65.58828039286729</v>
      </c>
      <c r="I73" s="314">
        <f>'PLANILHA '!I51</f>
        <v>1573.3045366289309</v>
      </c>
      <c r="J73" s="574">
        <f t="shared" si="2"/>
        <v>3.2617785820646073E-4</v>
      </c>
      <c r="K73" s="561"/>
      <c r="L73" s="129"/>
      <c r="M73" s="130"/>
      <c r="N73" s="38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</row>
    <row r="74" spans="1:44" s="2" customFormat="1" ht="40.049999999999997" customHeight="1">
      <c r="A74" s="573" t="str">
        <f>'PLANILHA '!A75</f>
        <v>4.7</v>
      </c>
      <c r="B74" s="101">
        <f>'PLANILHA '!B52</f>
        <v>41556</v>
      </c>
      <c r="C74" s="101" t="str">
        <f>'PLANILHA '!C52</f>
        <v>DER-ROD</v>
      </c>
      <c r="D74" s="438" t="str">
        <f>'PLANILHA '!D75</f>
        <v xml:space="preserve">PERCUSSAO COM BATIDAS LEVES,SEM RETIRADA DO MATERIAL SOLTO Observacao: 3%-DESGASTE DE FERRAMENTAS E EPI 	</v>
      </c>
      <c r="E74" s="101" t="str">
        <f>'PLANILHA '!E52</f>
        <v>m³</v>
      </c>
      <c r="F74" s="101">
        <f>'PLANILHA '!F52</f>
        <v>34.037999999999997</v>
      </c>
      <c r="G74" s="101">
        <f>'PLANILHA '!G52</f>
        <v>0</v>
      </c>
      <c r="H74" s="101">
        <f>'PLANILHA '!H52</f>
        <v>83.007823683669969</v>
      </c>
      <c r="I74" s="314">
        <f>'PLANILHA '!I75</f>
        <v>1786.8470774648845</v>
      </c>
      <c r="J74" s="574">
        <f t="shared" si="2"/>
        <v>3.704495468619069E-4</v>
      </c>
      <c r="K74" s="561"/>
      <c r="L74" s="129"/>
      <c r="M74" s="130"/>
      <c r="N74" s="38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</row>
    <row r="75" spans="1:44" s="2" customFormat="1" ht="40.049999999999997" customHeight="1">
      <c r="A75" s="573" t="str">
        <f>'PLANILHA '!A91</f>
        <v>5.6</v>
      </c>
      <c r="B75" s="101">
        <f>'PLANILHA '!B88</f>
        <v>40636</v>
      </c>
      <c r="C75" s="101" t="str">
        <f>'PLANILHA '!C88</f>
        <v>DER-ROD</v>
      </c>
      <c r="D75" s="438" t="str">
        <f>'PLANILHA '!D91</f>
        <v>Reaterro de valas, exclusive compactação</v>
      </c>
      <c r="E75" s="101" t="str">
        <f>'PLANILHA '!E88</f>
        <v>m</v>
      </c>
      <c r="F75" s="101">
        <f>'PLANILHA '!F88</f>
        <v>7.1999999999999993</v>
      </c>
      <c r="G75" s="101">
        <f>'PLANILHA '!G88</f>
        <v>0</v>
      </c>
      <c r="H75" s="101">
        <f>'PLANILHA '!H88</f>
        <v>38.888980400649622</v>
      </c>
      <c r="I75" s="314">
        <f>'PLANILHA '!I91</f>
        <v>1292.4953650885657</v>
      </c>
      <c r="J75" s="574">
        <f t="shared" si="2"/>
        <v>2.6796043621006712E-4</v>
      </c>
      <c r="K75" s="561"/>
      <c r="L75" s="129"/>
      <c r="M75" s="130"/>
      <c r="N75" s="38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</row>
    <row r="76" spans="1:44" s="2" customFormat="1" ht="40.049999999999997" customHeight="1">
      <c r="A76" s="573" t="str">
        <f>'PLANILHA '!A61</f>
        <v>3.3.7</v>
      </c>
      <c r="B76" s="101">
        <f>'PLANILHA '!B95</f>
        <v>40376</v>
      </c>
      <c r="C76" s="101" t="str">
        <f>'PLANILHA '!C95</f>
        <v>DER-ROD</v>
      </c>
      <c r="D76" s="438" t="str">
        <f>'PLANILHA '!D61</f>
        <v>Aço CA-25, fornecimento, dobragem e colocação nas formas</v>
      </c>
      <c r="E76" s="101" t="str">
        <f>'PLANILHA '!E95</f>
        <v>kg</v>
      </c>
      <c r="F76" s="101">
        <f>'PLANILHA '!F95</f>
        <v>359.09090909090907</v>
      </c>
      <c r="G76" s="101">
        <f>'PLANILHA '!G95</f>
        <v>0</v>
      </c>
      <c r="H76" s="101">
        <f>'PLANILHA '!H95</f>
        <v>13.299651306984829</v>
      </c>
      <c r="I76" s="314">
        <f>'PLANILHA '!I61</f>
        <v>1229.8313923892292</v>
      </c>
      <c r="J76" s="574">
        <f t="shared" si="2"/>
        <v>2.549689269847947E-4</v>
      </c>
      <c r="K76" s="561"/>
      <c r="L76" s="129"/>
      <c r="M76" s="130"/>
      <c r="N76" s="38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</row>
    <row r="77" spans="1:44" s="2" customFormat="1" ht="40.049999999999997" customHeight="1">
      <c r="A77" s="573" t="str">
        <f>'PLANILHA '!A92</f>
        <v>5.7</v>
      </c>
      <c r="B77" s="101">
        <f>'PLANILHA '!B78</f>
        <v>40808</v>
      </c>
      <c r="C77" s="101" t="str">
        <f>'PLANILHA '!C78</f>
        <v>DER-EDF</v>
      </c>
      <c r="D77" s="438" t="str">
        <f>'PLANILHA '!D92</f>
        <v>Compactação de aterros 100% PN</v>
      </c>
      <c r="E77" s="101" t="str">
        <f>'PLANILHA '!E78</f>
        <v>kg</v>
      </c>
      <c r="F77" s="101">
        <f>'PLANILHA '!F78</f>
        <v>47.352599999999995</v>
      </c>
      <c r="G77" s="101">
        <f>'PLANILHA '!G78</f>
        <v>0</v>
      </c>
      <c r="H77" s="101">
        <f>'PLANILHA '!H78</f>
        <v>5.8205513955768282</v>
      </c>
      <c r="I77" s="314">
        <f>'PLANILHA '!I92</f>
        <v>1175.9691681965533</v>
      </c>
      <c r="J77" s="574">
        <f t="shared" si="2"/>
        <v>2.438021982832764E-4</v>
      </c>
      <c r="K77" s="561"/>
      <c r="L77" s="129"/>
      <c r="M77" s="130"/>
      <c r="N77" s="38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</row>
    <row r="78" spans="1:44" s="2" customFormat="1" ht="40.049999999999997" customHeight="1">
      <c r="A78" s="573" t="str">
        <f>'PLANILHA '!A62</f>
        <v>3.3.8</v>
      </c>
      <c r="B78" s="101">
        <f>'PLANILHA '!B71</f>
        <v>40637</v>
      </c>
      <c r="C78" s="101" t="str">
        <f>'PLANILHA '!C71</f>
        <v>DER-ROD</v>
      </c>
      <c r="D78" s="438" t="str">
        <f>'PLANILHA '!D62</f>
        <v>Aplicação de graxa para as barras de transferência</v>
      </c>
      <c r="E78" s="101" t="str">
        <f>'PLANILHA '!E71</f>
        <v>und</v>
      </c>
      <c r="F78" s="101">
        <f>'PLANILHA '!F71</f>
        <v>88.001999999999995</v>
      </c>
      <c r="G78" s="101">
        <f>'PLANILHA '!G71</f>
        <v>0</v>
      </c>
      <c r="H78" s="101">
        <f>'PLANILHA '!H71</f>
        <v>78.107952149517658</v>
      </c>
      <c r="I78" s="314">
        <f>'PLANILHA '!I62</f>
        <v>1119.3457994797732</v>
      </c>
      <c r="J78" s="574">
        <f t="shared" si="2"/>
        <v>2.3206302846428664E-4</v>
      </c>
      <c r="K78" s="561"/>
      <c r="L78" s="129"/>
      <c r="M78" s="130"/>
      <c r="N78" s="38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</row>
    <row r="79" spans="1:44" s="2" customFormat="1" ht="40.049999999999997" customHeight="1">
      <c r="A79" s="573" t="str">
        <f>'PLANILHA '!A79</f>
        <v>4.11</v>
      </c>
      <c r="B79" s="101">
        <f>'PLANILHA '!B73</f>
        <v>40717</v>
      </c>
      <c r="C79" s="101" t="str">
        <f>'PLANILHA '!C73</f>
        <v>DER-ROD</v>
      </c>
      <c r="D79" s="438" t="str">
        <f>'PLANILHA '!D79</f>
        <v>Aço CA-50, fornecimento, dobragem e colocação nas formas (preço médio das bitolas)</v>
      </c>
      <c r="E79" s="101" t="str">
        <f>'PLANILHA '!E73</f>
        <v>m³</v>
      </c>
      <c r="F79" s="101">
        <f>'PLANILHA '!F73</f>
        <v>11.000249999999999</v>
      </c>
      <c r="G79" s="101">
        <f>'PLANILHA '!G73</f>
        <v>0</v>
      </c>
      <c r="H79" s="101">
        <f>'PLANILHA '!H73</f>
        <v>157.69586549710579</v>
      </c>
      <c r="I79" s="314">
        <f>'PLANILHA '!I79</f>
        <v>944.65960271869471</v>
      </c>
      <c r="J79" s="574">
        <f t="shared" si="2"/>
        <v>1.9584704599477217E-4</v>
      </c>
      <c r="K79" s="561"/>
      <c r="L79" s="129"/>
      <c r="M79" s="130"/>
      <c r="N79" s="38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</row>
    <row r="80" spans="1:44" s="2" customFormat="1" ht="40.049999999999997" customHeight="1">
      <c r="A80" s="573" t="str">
        <f>'PLANILHA '!A93</f>
        <v>5.8</v>
      </c>
      <c r="B80" s="101">
        <f>'PLANILHA '!B89</f>
        <v>40717</v>
      </c>
      <c r="C80" s="101" t="str">
        <f>'PLANILHA '!C89</f>
        <v>DER-ROD</v>
      </c>
      <c r="D80" s="438" t="str">
        <f>'PLANILHA '!D93</f>
        <v>Fornecimento, preparo e aplicação de concreto magro com consumo mínimo de cimento de 250 kg/m3 (brita 1 e 2) - (5%de perdas já incluído no custo)</v>
      </c>
      <c r="E80" s="101" t="str">
        <f>'PLANILHA '!E89</f>
        <v>m³</v>
      </c>
      <c r="F80" s="101">
        <f>'PLANILHA '!F89</f>
        <v>2.1</v>
      </c>
      <c r="G80" s="101">
        <f>'PLANILHA '!G89</f>
        <v>0</v>
      </c>
      <c r="H80" s="101">
        <f>'PLANILHA '!H89</f>
        <v>157.69586549710579</v>
      </c>
      <c r="I80" s="314">
        <f>'PLANILHA '!I93</f>
        <v>872.44084556504163</v>
      </c>
      <c r="J80" s="574">
        <f t="shared" si="2"/>
        <v>1.8087463665996905E-4</v>
      </c>
      <c r="K80" s="561"/>
      <c r="L80" s="129"/>
      <c r="M80" s="130"/>
      <c r="N80" s="38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</row>
    <row r="81" spans="1:44" s="2" customFormat="1" ht="40.049999999999997" customHeight="1">
      <c r="A81" s="573" t="str">
        <f>'PLANILHA '!A72</f>
        <v>4.4</v>
      </c>
      <c r="B81" s="101" t="str">
        <f>'PLANILHA '!B39</f>
        <v>05.026.0004-0</v>
      </c>
      <c r="C81" s="101" t="str">
        <f>'PLANILHA '!C39</f>
        <v>EMOP</v>
      </c>
      <c r="D81" s="438" t="str">
        <f>'PLANILHA '!D72</f>
        <v>Manta Geotêxtil não tecida com resistência longitudinal a tração 10 kN/m, fornecimento e aplicação</v>
      </c>
      <c r="E81" s="101" t="str">
        <f>'PLANILHA '!E39</f>
        <v>m</v>
      </c>
      <c r="F81" s="101">
        <f>'PLANILHA '!F39</f>
        <v>199.07999999999998</v>
      </c>
      <c r="G81" s="101">
        <f>'PLANILHA '!G39</f>
        <v>0</v>
      </c>
      <c r="H81" s="101">
        <f>'PLANILHA '!H39</f>
        <v>16.956055442623175</v>
      </c>
      <c r="I81" s="314">
        <f>'PLANILHA '!I72</f>
        <v>621.27783120902166</v>
      </c>
      <c r="J81" s="574">
        <f t="shared" si="2"/>
        <v>1.2880346278611711E-4</v>
      </c>
      <c r="K81" s="561"/>
      <c r="L81" s="129"/>
      <c r="M81" s="130"/>
      <c r="N81" s="38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</row>
    <row r="82" spans="1:44" s="2" customFormat="1" ht="40.049999999999997" customHeight="1">
      <c r="A82" s="573" t="str">
        <f>'PLANILHA '!A15</f>
        <v>2.1</v>
      </c>
      <c r="B82" s="101">
        <f>'PLANILHA '!B55</f>
        <v>40398</v>
      </c>
      <c r="C82" s="101" t="str">
        <f>'PLANILHA '!C55</f>
        <v>DER-ROD</v>
      </c>
      <c r="D82" s="438" t="str">
        <f>'PLANILHA '!D15</f>
        <v>Limpeza, desmatamento e destocamento de árvores com diâmetro até 15 cm, com trator de esteira</v>
      </c>
      <c r="E82" s="101" t="str">
        <f>'PLANILHA '!E55</f>
        <v>m²</v>
      </c>
      <c r="F82" s="101">
        <f>'PLANILHA '!F55</f>
        <v>802.3</v>
      </c>
      <c r="G82" s="101">
        <f>'PLANILHA '!G55</f>
        <v>0</v>
      </c>
      <c r="H82" s="101">
        <f>'PLANILHA '!H55</f>
        <v>273.16283816007865</v>
      </c>
      <c r="I82" s="314">
        <f>'PLANILHA '!I15</f>
        <v>593.75943269209893</v>
      </c>
      <c r="J82" s="574">
        <f t="shared" si="2"/>
        <v>1.2309834207963643E-4</v>
      </c>
      <c r="K82" s="561"/>
      <c r="L82" s="129"/>
      <c r="M82" s="130"/>
      <c r="N82" s="38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</row>
    <row r="83" spans="1:44" s="2" customFormat="1" ht="40.049999999999997" customHeight="1">
      <c r="A83" s="573" t="str">
        <f>'PLANILHA '!A80</f>
        <v>4.12</v>
      </c>
      <c r="B83" s="101">
        <f>'PLANILHA '!B91</f>
        <v>30211</v>
      </c>
      <c r="C83" s="101" t="str">
        <f>'PLANILHA '!C91</f>
        <v>DER-EDF</v>
      </c>
      <c r="D83" s="438" t="str">
        <f>'PLANILHA '!D80</f>
        <v xml:space="preserve">Furação e fixação de barras de aço </v>
      </c>
      <c r="E83" s="101" t="str">
        <f>'PLANILHA '!E91</f>
        <v>m³</v>
      </c>
      <c r="F83" s="101">
        <f>'PLANILHA '!F91</f>
        <v>147</v>
      </c>
      <c r="G83" s="101">
        <f>'PLANILHA '!G91</f>
        <v>0</v>
      </c>
      <c r="H83" s="101">
        <f>'PLANILHA '!H91</f>
        <v>8.7924854767929634</v>
      </c>
      <c r="I83" s="314">
        <f>'PLANILHA '!I80</f>
        <v>567.36397793360379</v>
      </c>
      <c r="J83" s="574">
        <f t="shared" si="2"/>
        <v>1.1762603033129619E-4</v>
      </c>
      <c r="K83" s="561"/>
      <c r="L83" s="129"/>
      <c r="M83" s="130"/>
      <c r="N83" s="38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</row>
    <row r="84" spans="1:44" s="2" customFormat="1" ht="40.049999999999997" customHeight="1">
      <c r="A84" s="573" t="str">
        <f>'PLANILHA '!A82</f>
        <v>4.14</v>
      </c>
      <c r="B84" s="101" t="str">
        <f>'PLANILHA '!B51</f>
        <v>2407972</v>
      </c>
      <c r="C84" s="101" t="str">
        <f>'PLANILHA '!C51</f>
        <v>SICRO</v>
      </c>
      <c r="D84" s="438" t="str">
        <f>'PLANILHA '!D82</f>
        <v>Corte em concreto com discos diamantados para pisos e lajes profundidade de corte 5 cm</v>
      </c>
      <c r="E84" s="101" t="str">
        <f>'PLANILHA '!E51</f>
        <v>kg</v>
      </c>
      <c r="F84" s="101">
        <f>'PLANILHA '!F51</f>
        <v>21.025440000000003</v>
      </c>
      <c r="G84" s="101">
        <f>'PLANILHA '!G51</f>
        <v>0</v>
      </c>
      <c r="H84" s="101">
        <f>'PLANILHA '!H51</f>
        <v>74.828614127881778</v>
      </c>
      <c r="I84" s="314">
        <f>'PLANILHA '!I82</f>
        <v>881.45283118733425</v>
      </c>
      <c r="J84" s="574">
        <f t="shared" si="2"/>
        <v>1.827430035908655E-4</v>
      </c>
      <c r="K84" s="561"/>
      <c r="L84" s="129"/>
      <c r="M84" s="130"/>
      <c r="N84" s="38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</row>
    <row r="85" spans="1:44" s="2" customFormat="1" ht="40.049999999999997" customHeight="1">
      <c r="A85" s="573" t="str">
        <f>'PLANILHA '!A70</f>
        <v>4.2</v>
      </c>
      <c r="B85" s="101">
        <f>'PLANILHA '!B33</f>
        <v>41556</v>
      </c>
      <c r="C85" s="101" t="str">
        <f>'PLANILHA '!C33</f>
        <v>DER-ROD</v>
      </c>
      <c r="D85" s="438" t="str">
        <f>'PLANILHA '!D70</f>
        <v>Plataforma ou passarela de pinho de 1ª ou similar, 1" x 12"</v>
      </c>
      <c r="E85" s="101" t="str">
        <f>'PLANILHA '!E33</f>
        <v>m³</v>
      </c>
      <c r="F85" s="101">
        <f>'PLANILHA '!F33</f>
        <v>52.5</v>
      </c>
      <c r="G85" s="101">
        <f>'PLANILHA '!G33</f>
        <v>0</v>
      </c>
      <c r="H85" s="101">
        <f>'PLANILHA '!H33</f>
        <v>83.007823683669969</v>
      </c>
      <c r="I85" s="314">
        <f>'PLANILHA '!I70</f>
        <v>357.62362374969211</v>
      </c>
      <c r="J85" s="574">
        <f t="shared" si="2"/>
        <v>7.4142611886601184E-5</v>
      </c>
      <c r="K85" s="561"/>
      <c r="L85" s="129"/>
      <c r="M85" s="130"/>
      <c r="N85" s="38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</row>
    <row r="86" spans="1:44" s="2" customFormat="1" ht="40.049999999999997" customHeight="1">
      <c r="A86" s="573" t="str">
        <f>'PLANILHA '!A101</f>
        <v>6.1.1</v>
      </c>
      <c r="B86" s="101"/>
      <c r="C86" s="101"/>
      <c r="D86" s="438" t="str">
        <f>'PLANILHA '!D101</f>
        <v>Elementos de madeira para sinalização - cavaletes</v>
      </c>
      <c r="E86" s="101"/>
      <c r="F86" s="101"/>
      <c r="G86" s="101"/>
      <c r="H86" s="101"/>
      <c r="I86" s="314">
        <f>'PLANILHA '!I101</f>
        <v>339.59109653022915</v>
      </c>
      <c r="J86" s="574">
        <f t="shared" si="2"/>
        <v>7.0404104198129819E-5</v>
      </c>
      <c r="K86" s="561"/>
      <c r="L86" s="129"/>
      <c r="M86" s="130"/>
      <c r="N86" s="38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</row>
    <row r="87" spans="1:44" s="2" customFormat="1" ht="40.049999999999997" customHeight="1">
      <c r="A87" s="573" t="str">
        <f>'PLANILHA '!A89</f>
        <v>5.4</v>
      </c>
      <c r="B87" s="101" t="str">
        <f>'PLANILHA '!B82</f>
        <v>3R 10 61 10 00 00 01 10 26</v>
      </c>
      <c r="C87" s="101" t="str">
        <f>'PLANILHA '!C82</f>
        <v>TCPO</v>
      </c>
      <c r="D87" s="438" t="str">
        <f>'PLANILHA '!D89</f>
        <v>Colchão drenante de brita 2 inclusive fornecimento, espalhamento, compactação e transporte da brita</v>
      </c>
      <c r="E87" s="101" t="str">
        <f>'PLANILHA '!E82</f>
        <v>m</v>
      </c>
      <c r="F87" s="101">
        <f>'PLANILHA '!F82</f>
        <v>23.676299999999998</v>
      </c>
      <c r="G87" s="101">
        <f>'PLANILHA '!G82</f>
        <v>0</v>
      </c>
      <c r="H87" s="101">
        <f>'PLANILHA '!H82</f>
        <v>37.229331913657724</v>
      </c>
      <c r="I87" s="314">
        <f>'PLANILHA '!I89</f>
        <v>331.16131754392217</v>
      </c>
      <c r="J87" s="574">
        <f t="shared" si="2"/>
        <v>6.8656440480844075E-5</v>
      </c>
      <c r="K87" s="561"/>
      <c r="L87" s="129"/>
      <c r="M87" s="130"/>
      <c r="N87" s="38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</row>
    <row r="88" spans="1:44" s="2" customFormat="1" ht="40.049999999999997" customHeight="1">
      <c r="A88" s="573" t="str">
        <f>'PLANILHA '!A78</f>
        <v>4.10</v>
      </c>
      <c r="B88" s="101" t="str">
        <f>'PLANILHA '!B75</f>
        <v>05.001.0160-0</v>
      </c>
      <c r="C88" s="101" t="str">
        <f>'PLANILHA '!C75</f>
        <v>EMOP</v>
      </c>
      <c r="D88" s="438" t="str">
        <f>'PLANILHA '!D78</f>
        <v>Retirada de ferragem corroída</v>
      </c>
      <c r="E88" s="101" t="str">
        <f>'PLANILHA '!E75</f>
        <v>m2</v>
      </c>
      <c r="F88" s="101">
        <f>'PLANILHA '!F75</f>
        <v>473.52599999999995</v>
      </c>
      <c r="G88" s="101">
        <f>'PLANILHA '!G75</f>
        <v>0</v>
      </c>
      <c r="H88" s="101">
        <f>'PLANILHA '!H75</f>
        <v>3.7734930657765036</v>
      </c>
      <c r="I88" s="314">
        <f>'PLANILHA '!I78</f>
        <v>275.61824201419131</v>
      </c>
      <c r="J88" s="574">
        <f t="shared" si="2"/>
        <v>5.7141237293732041E-5</v>
      </c>
      <c r="K88" s="561"/>
      <c r="L88" s="129"/>
      <c r="M88" s="130"/>
      <c r="N88" s="38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</row>
    <row r="89" spans="1:44" s="2" customFormat="1" ht="40.049999999999997" customHeight="1">
      <c r="A89" s="573" t="str">
        <f>'PLANILHA '!A88</f>
        <v>5.3</v>
      </c>
      <c r="B89" s="101">
        <f>'PLANILHA '!B15</f>
        <v>40167</v>
      </c>
      <c r="C89" s="101" t="str">
        <f>'PLANILHA '!C15</f>
        <v>DER-ROD</v>
      </c>
      <c r="D89" s="438" t="str">
        <f>'PLANILHA '!D88</f>
        <v>Dreno de PVC D = 50 mm</v>
      </c>
      <c r="E89" s="101" t="str">
        <f>'PLANILHA '!E15</f>
        <v>m²</v>
      </c>
      <c r="F89" s="101">
        <f>'PLANILHA '!F15</f>
        <v>682.5</v>
      </c>
      <c r="G89" s="101">
        <f>'PLANILHA '!G15</f>
        <v>0</v>
      </c>
      <c r="H89" s="101">
        <f>'PLANILHA '!H15</f>
        <v>0.86997719075765412</v>
      </c>
      <c r="I89" s="314">
        <f>'PLANILHA '!I88</f>
        <v>280.00065888467725</v>
      </c>
      <c r="J89" s="574">
        <f t="shared" si="2"/>
        <v>5.8049800966754808E-5</v>
      </c>
      <c r="K89" s="561"/>
      <c r="L89" s="129"/>
      <c r="M89" s="130"/>
      <c r="N89" s="38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</row>
    <row r="90" spans="1:44" s="2" customFormat="1" ht="40.049999999999997" customHeight="1">
      <c r="A90" s="573" t="str">
        <f>'PLANILHA '!A86</f>
        <v>5.1</v>
      </c>
      <c r="B90" s="101">
        <f>'PLANILHA '!B93</f>
        <v>40231</v>
      </c>
      <c r="C90" s="101" t="str">
        <f>'PLANILHA '!C93</f>
        <v>DER-EDF</v>
      </c>
      <c r="D90" s="438" t="str">
        <f>'PLANILHA '!D86</f>
        <v>Tubo dreno, corrugado, espiralado, flexível, perfurado, em polietileno de alta densidade (pead), dn 160 mm</v>
      </c>
      <c r="E90" s="101" t="str">
        <f>'PLANILHA '!E93</f>
        <v>m²</v>
      </c>
      <c r="F90" s="101">
        <f>'PLANILHA '!F93</f>
        <v>1.05</v>
      </c>
      <c r="G90" s="101">
        <f>'PLANILHA '!G93</f>
        <v>0</v>
      </c>
      <c r="H90" s="101">
        <f>'PLANILHA '!H93</f>
        <v>830.89604339527773</v>
      </c>
      <c r="I90" s="314">
        <f>'PLANILHA '!I86</f>
        <v>209.70830094429033</v>
      </c>
      <c r="J90" s="574">
        <f t="shared" si="2"/>
        <v>4.3476773159688292E-5</v>
      </c>
      <c r="K90" s="561"/>
      <c r="L90" s="129"/>
      <c r="M90" s="130"/>
      <c r="N90" s="38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</row>
    <row r="91" spans="1:44" s="2" customFormat="1" ht="40.049999999999997" customHeight="1">
      <c r="A91" s="576" t="str">
        <f>'PLANILHA '!A98</f>
        <v>5.13</v>
      </c>
      <c r="B91" s="562"/>
      <c r="C91" s="562"/>
      <c r="D91" s="563" t="str">
        <f>'PLANILHA '!D98</f>
        <v>Lona plástica preta para isolamento de concretagem sobre solo, fornecimento e colocação</v>
      </c>
      <c r="E91" s="562"/>
      <c r="F91" s="562"/>
      <c r="G91" s="562"/>
      <c r="H91" s="562"/>
      <c r="I91" s="564">
        <f>'PLANILHA '!I98</f>
        <v>116.75693884237205</v>
      </c>
      <c r="J91" s="577">
        <f t="shared" si="2"/>
        <v>2.420607540098244E-5</v>
      </c>
      <c r="K91" s="561"/>
      <c r="L91" s="129"/>
      <c r="M91" s="130"/>
      <c r="N91" s="38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</row>
    <row r="92" spans="1:44" s="2" customFormat="1" ht="40.049999999999997" customHeight="1">
      <c r="A92" s="573" t="str">
        <f>'PLANILHA '!A87</f>
        <v>5.2</v>
      </c>
      <c r="B92" s="101">
        <f>'PLANILHA '!B80</f>
        <v>40338</v>
      </c>
      <c r="C92" s="101" t="str">
        <f>'PLANILHA '!C80</f>
        <v>DER-ROD</v>
      </c>
      <c r="D92" s="438" t="str">
        <f>'PLANILHA '!D87</f>
        <v>Manta Geotêxtil não tecida com resistência longitudinal a tração 10 kN/m, fornecimento e aplicação</v>
      </c>
      <c r="E92" s="101" t="str">
        <f>'PLANILHA '!E80</f>
        <v>Und</v>
      </c>
      <c r="F92" s="101">
        <f>'PLANILHA '!F80</f>
        <v>14.205779999999999</v>
      </c>
      <c r="G92" s="101">
        <f>'PLANILHA '!G80</f>
        <v>0</v>
      </c>
      <c r="H92" s="101">
        <f>'PLANILHA '!H80</f>
        <v>39.93895287225368</v>
      </c>
      <c r="I92" s="314">
        <f>'PLANILHA '!I87</f>
        <v>84.717778851710875</v>
      </c>
      <c r="J92" s="574">
        <f t="shared" si="2"/>
        <v>1.7563709386529913E-5</v>
      </c>
      <c r="K92" s="561"/>
      <c r="L92" s="129"/>
      <c r="M92" s="130"/>
      <c r="N92" s="38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</row>
    <row r="93" spans="1:44" ht="13.8" thickBot="1">
      <c r="A93" s="887" t="s">
        <v>8</v>
      </c>
      <c r="B93" s="888"/>
      <c r="C93" s="888"/>
      <c r="D93" s="888"/>
      <c r="E93" s="888"/>
      <c r="F93" s="888"/>
      <c r="G93" s="888"/>
      <c r="H93" s="889"/>
      <c r="I93" s="578">
        <f>SUM(I8:I92)</f>
        <v>4823455.9674896039</v>
      </c>
      <c r="J93" s="579"/>
      <c r="K93" s="329"/>
      <c r="L93" s="43"/>
      <c r="M93" s="43"/>
      <c r="N93" s="38">
        <f>(M93*23.32%)</f>
        <v>0</v>
      </c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</row>
    <row r="94" spans="1:44" ht="15" customHeight="1">
      <c r="L94" s="42">
        <f>'PLANILHA '!I112</f>
        <v>5284785.6270300327</v>
      </c>
    </row>
    <row r="96" spans="1:44" ht="15" customHeight="1">
      <c r="M96" s="4">
        <f>SUM(I43:I93)</f>
        <v>5067890.476656572</v>
      </c>
    </row>
  </sheetData>
  <sortState xmlns:xlrd2="http://schemas.microsoft.com/office/spreadsheetml/2017/richdata2" ref="A8:J92">
    <sortCondition descending="1" ref="I8:I92"/>
  </sortState>
  <mergeCells count="3">
    <mergeCell ref="A93:H93"/>
    <mergeCell ref="B3:D3"/>
    <mergeCell ref="B4:D4"/>
  </mergeCells>
  <phoneticPr fontId="8" type="noConversion"/>
  <conditionalFormatting sqref="J8:J92">
    <cfRule type="colorScale" priority="249">
      <colorScale>
        <cfvo type="min"/>
        <cfvo type="max"/>
        <color theme="8" tint="0.59999389629810485"/>
        <color rgb="FF0070C0"/>
      </colorScale>
    </cfRule>
  </conditionalFormatting>
  <conditionalFormatting sqref="J93">
    <cfRule type="colorScale" priority="226">
      <colorScale>
        <cfvo type="min"/>
        <cfvo type="max"/>
        <color theme="8" tint="0.59999389629810485"/>
        <color rgb="FF0070C0"/>
      </colorScale>
    </cfRule>
  </conditionalFormatting>
  <printOptions horizontalCentered="1"/>
  <pageMargins left="0.25" right="0.25" top="0.75" bottom="0.75" header="0.3" footer="0.3"/>
  <pageSetup paperSize="9" scale="3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 tint="0.34998626667073579"/>
    <pageSetUpPr fitToPage="1"/>
  </sheetPr>
  <dimension ref="A1:L28"/>
  <sheetViews>
    <sheetView showGridLines="0" view="pageBreakPreview" zoomScale="80" zoomScaleNormal="100" zoomScaleSheetLayoutView="80" workbookViewId="0">
      <selection activeCell="L28" sqref="L28"/>
    </sheetView>
  </sheetViews>
  <sheetFormatPr defaultColWidth="10.6640625" defaultRowHeight="15" customHeight="1"/>
  <cols>
    <col min="1" max="1" width="12.6640625" style="4" customWidth="1"/>
    <col min="2" max="2" width="9.33203125" style="4" bestFit="1" customWidth="1"/>
    <col min="3" max="3" width="43.88671875" style="4" customWidth="1"/>
    <col min="4" max="4" width="9.109375" style="4" customWidth="1"/>
    <col min="5" max="5" width="6.6640625" style="4" customWidth="1"/>
    <col min="6" max="6" width="6.5546875" style="4" customWidth="1"/>
    <col min="7" max="7" width="5.6640625" style="4" customWidth="1"/>
    <col min="8" max="9" width="8.6640625" style="4" bestFit="1" customWidth="1"/>
    <col min="10" max="10" width="10.88671875" style="4" customWidth="1"/>
    <col min="11" max="11" width="11.5546875" style="4" customWidth="1"/>
    <col min="12" max="12" width="15.6640625" style="4" customWidth="1"/>
    <col min="13" max="16384" width="10.6640625" style="4"/>
  </cols>
  <sheetData>
    <row r="1" spans="1:12" ht="57" customHeight="1" thickBot="1">
      <c r="A1" s="890" t="s">
        <v>89</v>
      </c>
      <c r="B1" s="891"/>
      <c r="C1" s="891"/>
      <c r="D1" s="891"/>
      <c r="E1" s="891"/>
      <c r="F1" s="891"/>
      <c r="G1" s="891"/>
      <c r="H1" s="891"/>
      <c r="I1" s="891"/>
      <c r="J1" s="891"/>
      <c r="K1" s="891"/>
      <c r="L1" s="892"/>
    </row>
    <row r="2" spans="1:12" ht="15" customHeight="1">
      <c r="A2" s="893" t="s">
        <v>139</v>
      </c>
      <c r="B2" s="894"/>
      <c r="C2" s="895" t="str">
        <f>'PLANILHA '!D62</f>
        <v>Aplicação de graxa para as barras de transferência</v>
      </c>
      <c r="D2" s="896"/>
      <c r="E2" s="896"/>
      <c r="F2" s="896"/>
      <c r="G2" s="896"/>
      <c r="H2" s="896"/>
      <c r="I2" s="896"/>
      <c r="J2" s="896"/>
      <c r="K2" s="896"/>
      <c r="L2" s="897"/>
    </row>
    <row r="3" spans="1:12" ht="15" customHeight="1" thickBot="1">
      <c r="A3" s="898" t="s">
        <v>659</v>
      </c>
      <c r="B3" s="899"/>
      <c r="C3" s="900"/>
      <c r="D3" s="901" t="s">
        <v>144</v>
      </c>
      <c r="E3" s="901"/>
      <c r="F3" s="901"/>
      <c r="G3" s="901"/>
      <c r="H3" s="901"/>
      <c r="I3" s="901"/>
      <c r="J3" s="901" t="s">
        <v>142</v>
      </c>
      <c r="K3" s="901"/>
      <c r="L3" s="902"/>
    </row>
    <row r="4" spans="1:12" ht="11.4" customHeight="1">
      <c r="A4" s="725" t="s">
        <v>9</v>
      </c>
      <c r="B4" s="919" t="s">
        <v>90</v>
      </c>
      <c r="C4" s="921" t="s">
        <v>38</v>
      </c>
      <c r="D4" s="921" t="s">
        <v>91</v>
      </c>
      <c r="E4" s="903" t="s">
        <v>82</v>
      </c>
      <c r="F4" s="904"/>
      <c r="G4" s="904"/>
      <c r="H4" s="904"/>
      <c r="I4" s="923"/>
      <c r="J4" s="903" t="s">
        <v>36</v>
      </c>
      <c r="K4" s="904"/>
      <c r="L4" s="905"/>
    </row>
    <row r="5" spans="1:12" ht="13.2">
      <c r="A5" s="918"/>
      <c r="B5" s="920"/>
      <c r="C5" s="922"/>
      <c r="D5" s="922"/>
      <c r="E5" s="906" t="s">
        <v>92</v>
      </c>
      <c r="F5" s="907"/>
      <c r="G5" s="908"/>
      <c r="H5" s="53" t="s">
        <v>93</v>
      </c>
      <c r="I5" s="92" t="s">
        <v>94</v>
      </c>
      <c r="J5" s="53" t="s">
        <v>143</v>
      </c>
      <c r="K5" s="53" t="s">
        <v>95</v>
      </c>
      <c r="L5" s="580" t="s">
        <v>96</v>
      </c>
    </row>
    <row r="6" spans="1:12" ht="13.2">
      <c r="A6" s="581"/>
      <c r="B6" s="55"/>
      <c r="C6" s="63"/>
      <c r="D6" s="56"/>
      <c r="E6" s="909"/>
      <c r="F6" s="910"/>
      <c r="G6" s="911"/>
      <c r="H6" s="57"/>
      <c r="I6" s="57"/>
      <c r="J6" s="57"/>
      <c r="K6" s="57"/>
      <c r="L6" s="582"/>
    </row>
    <row r="7" spans="1:12" ht="15" customHeight="1">
      <c r="A7" s="912" t="s">
        <v>97</v>
      </c>
      <c r="B7" s="913"/>
      <c r="C7" s="913"/>
      <c r="D7" s="913"/>
      <c r="E7" s="913"/>
      <c r="F7" s="913"/>
      <c r="G7" s="913"/>
      <c r="H7" s="913"/>
      <c r="I7" s="913"/>
      <c r="J7" s="913"/>
      <c r="K7" s="914"/>
      <c r="L7" s="583">
        <f>SUM(L6:L6)</f>
        <v>0</v>
      </c>
    </row>
    <row r="8" spans="1:12" ht="26.4">
      <c r="A8" s="584" t="s">
        <v>9</v>
      </c>
      <c r="B8" s="257" t="s">
        <v>90</v>
      </c>
      <c r="C8" s="91" t="s">
        <v>98</v>
      </c>
      <c r="D8" s="91" t="s">
        <v>140</v>
      </c>
      <c r="E8" s="915" t="s">
        <v>11</v>
      </c>
      <c r="F8" s="916"/>
      <c r="G8" s="916"/>
      <c r="H8" s="916"/>
      <c r="I8" s="917"/>
      <c r="J8" s="915" t="s">
        <v>141</v>
      </c>
      <c r="K8" s="917"/>
      <c r="L8" s="585" t="s">
        <v>99</v>
      </c>
    </row>
    <row r="9" spans="1:12" ht="15" customHeight="1">
      <c r="A9" s="586">
        <v>20110</v>
      </c>
      <c r="B9" s="172" t="s">
        <v>394</v>
      </c>
      <c r="C9" s="79" t="s">
        <v>161</v>
      </c>
      <c r="D9" s="54" t="s">
        <v>83</v>
      </c>
      <c r="E9" s="924">
        <v>0.6</v>
      </c>
      <c r="F9" s="924"/>
      <c r="G9" s="924"/>
      <c r="H9" s="924"/>
      <c r="I9" s="924"/>
      <c r="J9" s="925">
        <v>25.5</v>
      </c>
      <c r="K9" s="925"/>
      <c r="L9" s="587">
        <f>ROUND(J9*E9,2)</f>
        <v>15.3</v>
      </c>
    </row>
    <row r="10" spans="1:12" ht="13.2">
      <c r="A10" s="588"/>
      <c r="B10" s="59"/>
      <c r="C10" s="60"/>
      <c r="D10" s="61"/>
      <c r="E10" s="926"/>
      <c r="F10" s="926"/>
      <c r="G10" s="926"/>
      <c r="H10" s="926"/>
      <c r="I10" s="926"/>
      <c r="J10" s="927"/>
      <c r="K10" s="927"/>
      <c r="L10" s="589"/>
    </row>
    <row r="11" spans="1:12" ht="13.95" customHeight="1" thickBot="1">
      <c r="A11" s="928" t="s">
        <v>100</v>
      </c>
      <c r="B11" s="929"/>
      <c r="C11" s="930"/>
      <c r="D11" s="930"/>
      <c r="E11" s="930"/>
      <c r="F11" s="930"/>
      <c r="G11" s="930"/>
      <c r="H11" s="930"/>
      <c r="I11" s="930"/>
      <c r="J11" s="930"/>
      <c r="K11" s="930"/>
      <c r="L11" s="583">
        <f>SUM(L9:L10)</f>
        <v>15.3</v>
      </c>
    </row>
    <row r="12" spans="1:12" ht="13.8" thickBot="1">
      <c r="A12" s="931" t="s">
        <v>101</v>
      </c>
      <c r="B12" s="932"/>
      <c r="C12" s="932"/>
      <c r="D12" s="932"/>
      <c r="E12" s="932"/>
      <c r="F12" s="932"/>
      <c r="G12" s="932"/>
      <c r="H12" s="932"/>
      <c r="I12" s="932"/>
      <c r="J12" s="932"/>
      <c r="K12" s="933"/>
      <c r="L12" s="590">
        <f>L11*0.05</f>
        <v>0.76500000000000012</v>
      </c>
    </row>
    <row r="13" spans="1:12" ht="13.8" thickBot="1">
      <c r="A13" s="928" t="s">
        <v>102</v>
      </c>
      <c r="B13" s="929"/>
      <c r="C13" s="930"/>
      <c r="D13" s="930"/>
      <c r="E13" s="930"/>
      <c r="F13" s="930"/>
      <c r="G13" s="930"/>
      <c r="H13" s="930"/>
      <c r="I13" s="930"/>
      <c r="J13" s="930"/>
      <c r="K13" s="930"/>
      <c r="L13" s="583">
        <v>1</v>
      </c>
    </row>
    <row r="14" spans="1:12" ht="13.8" thickBot="1">
      <c r="A14" s="931" t="s">
        <v>103</v>
      </c>
      <c r="B14" s="932"/>
      <c r="C14" s="932"/>
      <c r="D14" s="932"/>
      <c r="E14" s="932"/>
      <c r="F14" s="932"/>
      <c r="G14" s="932"/>
      <c r="H14" s="932"/>
      <c r="I14" s="932"/>
      <c r="J14" s="932"/>
      <c r="K14" s="933"/>
      <c r="L14" s="590">
        <f>ROUND((L7+L11+L12)/L13,2)</f>
        <v>16.07</v>
      </c>
    </row>
    <row r="15" spans="1:12" ht="26.4">
      <c r="A15" s="584" t="s">
        <v>9</v>
      </c>
      <c r="B15" s="257" t="s">
        <v>90</v>
      </c>
      <c r="C15" s="91" t="s">
        <v>104</v>
      </c>
      <c r="D15" s="91" t="s">
        <v>28</v>
      </c>
      <c r="E15" s="915" t="s">
        <v>105</v>
      </c>
      <c r="F15" s="916"/>
      <c r="G15" s="916"/>
      <c r="H15" s="916"/>
      <c r="I15" s="917"/>
      <c r="J15" s="915" t="s">
        <v>106</v>
      </c>
      <c r="K15" s="917"/>
      <c r="L15" s="585" t="s">
        <v>37</v>
      </c>
    </row>
    <row r="16" spans="1:12" ht="13.2">
      <c r="A16" s="591">
        <v>10629</v>
      </c>
      <c r="B16" s="172" t="s">
        <v>394</v>
      </c>
      <c r="C16" s="64" t="s">
        <v>162</v>
      </c>
      <c r="D16" s="62" t="s">
        <v>33</v>
      </c>
      <c r="E16" s="934">
        <v>0.08</v>
      </c>
      <c r="F16" s="935"/>
      <c r="G16" s="935"/>
      <c r="H16" s="935"/>
      <c r="I16" s="936"/>
      <c r="J16" s="937">
        <v>34.72</v>
      </c>
      <c r="K16" s="938"/>
      <c r="L16" s="592">
        <f>E16*J16</f>
        <v>2.7776000000000001</v>
      </c>
    </row>
    <row r="17" spans="1:12" ht="13.2">
      <c r="A17" s="591">
        <v>10754</v>
      </c>
      <c r="B17" s="172" t="s">
        <v>394</v>
      </c>
      <c r="C17" s="64" t="s">
        <v>163</v>
      </c>
      <c r="D17" s="62" t="s">
        <v>6</v>
      </c>
      <c r="E17" s="934">
        <v>0.1</v>
      </c>
      <c r="F17" s="935"/>
      <c r="G17" s="935"/>
      <c r="H17" s="935"/>
      <c r="I17" s="936"/>
      <c r="J17" s="937">
        <v>8.85</v>
      </c>
      <c r="K17" s="938"/>
      <c r="L17" s="592">
        <f>E17*J17</f>
        <v>0.88500000000000001</v>
      </c>
    </row>
    <row r="18" spans="1:12" ht="15" customHeight="1">
      <c r="A18" s="928" t="s">
        <v>107</v>
      </c>
      <c r="B18" s="929"/>
      <c r="C18" s="930"/>
      <c r="D18" s="930"/>
      <c r="E18" s="930"/>
      <c r="F18" s="930"/>
      <c r="G18" s="930"/>
      <c r="H18" s="930"/>
      <c r="I18" s="930"/>
      <c r="J18" s="930"/>
      <c r="K18" s="930"/>
      <c r="L18" s="583">
        <f>SUM(L16:L17)</f>
        <v>3.6626000000000003</v>
      </c>
    </row>
    <row r="19" spans="1:12" ht="15" customHeight="1">
      <c r="A19" s="584" t="s">
        <v>9</v>
      </c>
      <c r="B19" s="257" t="s">
        <v>90</v>
      </c>
      <c r="C19" s="91" t="s">
        <v>108</v>
      </c>
      <c r="D19" s="91" t="s">
        <v>28</v>
      </c>
      <c r="E19" s="915" t="s">
        <v>105</v>
      </c>
      <c r="F19" s="916"/>
      <c r="G19" s="916"/>
      <c r="H19" s="916"/>
      <c r="I19" s="917"/>
      <c r="J19" s="915" t="s">
        <v>106</v>
      </c>
      <c r="K19" s="917"/>
      <c r="L19" s="585" t="s">
        <v>37</v>
      </c>
    </row>
    <row r="20" spans="1:12" ht="15" customHeight="1">
      <c r="A20" s="591"/>
      <c r="B20" s="97"/>
      <c r="C20" s="64"/>
      <c r="D20" s="62"/>
      <c r="E20" s="93"/>
      <c r="F20" s="94"/>
      <c r="G20" s="94"/>
      <c r="H20" s="94"/>
      <c r="I20" s="95"/>
      <c r="J20" s="98"/>
      <c r="K20" s="99"/>
      <c r="L20" s="592"/>
    </row>
    <row r="21" spans="1:12" ht="15" customHeight="1" thickBot="1">
      <c r="A21" s="928" t="s">
        <v>109</v>
      </c>
      <c r="B21" s="929"/>
      <c r="C21" s="930"/>
      <c r="D21" s="930"/>
      <c r="E21" s="930"/>
      <c r="F21" s="930"/>
      <c r="G21" s="930"/>
      <c r="H21" s="930"/>
      <c r="I21" s="930"/>
      <c r="J21" s="930"/>
      <c r="K21" s="930"/>
      <c r="L21" s="583">
        <f>SUM(L20:L20)</f>
        <v>0</v>
      </c>
    </row>
    <row r="22" spans="1:12" ht="15" customHeight="1">
      <c r="A22" s="726" t="s">
        <v>9</v>
      </c>
      <c r="B22" s="919" t="s">
        <v>90</v>
      </c>
      <c r="C22" s="940" t="s">
        <v>110</v>
      </c>
      <c r="D22" s="940" t="s">
        <v>28</v>
      </c>
      <c r="E22" s="91" t="s">
        <v>111</v>
      </c>
      <c r="F22" s="91" t="s">
        <v>111</v>
      </c>
      <c r="G22" s="942" t="s">
        <v>112</v>
      </c>
      <c r="H22" s="944" t="s">
        <v>113</v>
      </c>
      <c r="I22" s="945"/>
      <c r="J22" s="945"/>
      <c r="K22" s="946"/>
      <c r="L22" s="953" t="s">
        <v>37</v>
      </c>
    </row>
    <row r="23" spans="1:12" ht="15" customHeight="1">
      <c r="A23" s="939"/>
      <c r="B23" s="920"/>
      <c r="C23" s="941"/>
      <c r="D23" s="941"/>
      <c r="E23" s="91" t="s">
        <v>114</v>
      </c>
      <c r="F23" s="91" t="s">
        <v>123</v>
      </c>
      <c r="G23" s="943"/>
      <c r="H23" s="906" t="s">
        <v>115</v>
      </c>
      <c r="I23" s="908"/>
      <c r="J23" s="906" t="s">
        <v>106</v>
      </c>
      <c r="K23" s="908"/>
      <c r="L23" s="954"/>
    </row>
    <row r="24" spans="1:12" ht="13.2">
      <c r="A24" s="594"/>
      <c r="B24" s="54"/>
      <c r="C24" s="65"/>
      <c r="D24" s="66"/>
      <c r="E24" s="66"/>
      <c r="F24" s="67"/>
      <c r="G24" s="67"/>
      <c r="H24" s="955"/>
      <c r="I24" s="956"/>
      <c r="J24" s="957"/>
      <c r="K24" s="957"/>
      <c r="L24" s="595">
        <f>G24*J24</f>
        <v>0</v>
      </c>
    </row>
    <row r="25" spans="1:12" ht="15" customHeight="1" thickBot="1">
      <c r="A25" s="928" t="s">
        <v>116</v>
      </c>
      <c r="B25" s="929"/>
      <c r="C25" s="930"/>
      <c r="D25" s="930"/>
      <c r="E25" s="930"/>
      <c r="F25" s="930"/>
      <c r="G25" s="930"/>
      <c r="H25" s="930"/>
      <c r="I25" s="930"/>
      <c r="J25" s="930"/>
      <c r="K25" s="930"/>
      <c r="L25" s="583">
        <f>SUM(L24:L24)</f>
        <v>0</v>
      </c>
    </row>
    <row r="26" spans="1:12" ht="15" customHeight="1" thickBot="1">
      <c r="A26" s="947" t="s">
        <v>117</v>
      </c>
      <c r="B26" s="948"/>
      <c r="C26" s="948"/>
      <c r="D26" s="948"/>
      <c r="E26" s="948"/>
      <c r="F26" s="948"/>
      <c r="G26" s="948"/>
      <c r="H26" s="948"/>
      <c r="I26" s="948"/>
      <c r="J26" s="948"/>
      <c r="K26" s="949"/>
      <c r="L26" s="590">
        <f>L14+L18+L21+L25</f>
        <v>19.732600000000001</v>
      </c>
    </row>
    <row r="27" spans="1:12" ht="14.4" customHeight="1" thickBot="1">
      <c r="A27" s="958" t="s">
        <v>646</v>
      </c>
      <c r="B27" s="959"/>
      <c r="C27" s="959"/>
      <c r="D27" s="959"/>
      <c r="E27" s="959"/>
      <c r="F27" s="959"/>
      <c r="G27" s="959"/>
      <c r="H27" s="959"/>
      <c r="I27" s="959"/>
      <c r="J27" s="959"/>
      <c r="K27" s="960"/>
      <c r="L27" s="685">
        <f>TRUNC(L26*0.2332,2)</f>
        <v>4.5999999999999996</v>
      </c>
    </row>
    <row r="28" spans="1:12" ht="15" customHeight="1" thickBot="1">
      <c r="A28" s="950" t="s">
        <v>118</v>
      </c>
      <c r="B28" s="951"/>
      <c r="C28" s="951"/>
      <c r="D28" s="951"/>
      <c r="E28" s="951"/>
      <c r="F28" s="951"/>
      <c r="G28" s="951"/>
      <c r="H28" s="951"/>
      <c r="I28" s="951"/>
      <c r="J28" s="951"/>
      <c r="K28" s="952"/>
      <c r="L28" s="612">
        <f>L27+L26</f>
        <v>24.332599999999999</v>
      </c>
    </row>
  </sheetData>
  <mergeCells count="50">
    <mergeCell ref="A26:K26"/>
    <mergeCell ref="A28:K28"/>
    <mergeCell ref="L22:L23"/>
    <mergeCell ref="H23:I23"/>
    <mergeCell ref="J23:K23"/>
    <mergeCell ref="H24:I24"/>
    <mergeCell ref="J24:K24"/>
    <mergeCell ref="A25:K25"/>
    <mergeCell ref="A27:K27"/>
    <mergeCell ref="A21:K21"/>
    <mergeCell ref="A22:A23"/>
    <mergeCell ref="B22:B23"/>
    <mergeCell ref="C22:C23"/>
    <mergeCell ref="D22:D23"/>
    <mergeCell ref="G22:G23"/>
    <mergeCell ref="H22:K22"/>
    <mergeCell ref="A12:K12"/>
    <mergeCell ref="A13:K13"/>
    <mergeCell ref="A14:K14"/>
    <mergeCell ref="A18:K18"/>
    <mergeCell ref="E19:I19"/>
    <mergeCell ref="J19:K19"/>
    <mergeCell ref="E15:I15"/>
    <mergeCell ref="J15:K15"/>
    <mergeCell ref="E16:I16"/>
    <mergeCell ref="J16:K16"/>
    <mergeCell ref="E17:I17"/>
    <mergeCell ref="J17:K17"/>
    <mergeCell ref="E9:I9"/>
    <mergeCell ref="J9:K9"/>
    <mergeCell ref="E10:I10"/>
    <mergeCell ref="J10:K10"/>
    <mergeCell ref="A11:K11"/>
    <mergeCell ref="J4:L4"/>
    <mergeCell ref="E5:G5"/>
    <mergeCell ref="E6:G6"/>
    <mergeCell ref="A7:K7"/>
    <mergeCell ref="E8:I8"/>
    <mergeCell ref="J8:K8"/>
    <mergeCell ref="A4:A5"/>
    <mergeCell ref="B4:B5"/>
    <mergeCell ref="C4:C5"/>
    <mergeCell ref="D4:D5"/>
    <mergeCell ref="E4:I4"/>
    <mergeCell ref="A1:L1"/>
    <mergeCell ref="A2:B2"/>
    <mergeCell ref="C2:L2"/>
    <mergeCell ref="A3:C3"/>
    <mergeCell ref="D3:I3"/>
    <mergeCell ref="J3:L3"/>
  </mergeCells>
  <printOptions horizontalCentered="1"/>
  <pageMargins left="0.25" right="0.25" top="0.75" bottom="0.75" header="0.3" footer="0.3"/>
  <pageSetup paperSize="9" scale="94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26</vt:i4>
      </vt:variant>
    </vt:vector>
  </HeadingPairs>
  <TitlesOfParts>
    <vt:vector size="48" baseType="lpstr">
      <vt:lpstr>RESUMO</vt:lpstr>
      <vt:lpstr>DMT</vt:lpstr>
      <vt:lpstr>REAJUSTE</vt:lpstr>
      <vt:lpstr>PLANILHA </vt:lpstr>
      <vt:lpstr>MEMÓRIA DE CALCULO</vt:lpstr>
      <vt:lpstr>CRONOGRAMA </vt:lpstr>
      <vt:lpstr>BDI</vt:lpstr>
      <vt:lpstr>CURVA ABC</vt:lpstr>
      <vt:lpstr>COMP_01</vt:lpstr>
      <vt:lpstr>COMP_2</vt:lpstr>
      <vt:lpstr>COMP_03</vt:lpstr>
      <vt:lpstr>COMP_04</vt:lpstr>
      <vt:lpstr>COMP_05</vt:lpstr>
      <vt:lpstr>COMP_06</vt:lpstr>
      <vt:lpstr>1600438</vt:lpstr>
      <vt:lpstr>4915668</vt:lpstr>
      <vt:lpstr>1416257</vt:lpstr>
      <vt:lpstr>3807865</vt:lpstr>
      <vt:lpstr>2407972</vt:lpstr>
      <vt:lpstr>0307735</vt:lpstr>
      <vt:lpstr>0307084</vt:lpstr>
      <vt:lpstr>2419790</vt:lpstr>
      <vt:lpstr>'1416257'!Area_de_impressao</vt:lpstr>
      <vt:lpstr>'1600438'!Area_de_impressao</vt:lpstr>
      <vt:lpstr>'4915668'!Area_de_impressao</vt:lpstr>
      <vt:lpstr>BDI!Area_de_impressao</vt:lpstr>
      <vt:lpstr>COMP_01!Area_de_impressao</vt:lpstr>
      <vt:lpstr>COMP_03!Area_de_impressao</vt:lpstr>
      <vt:lpstr>COMP_04!Area_de_impressao</vt:lpstr>
      <vt:lpstr>COMP_2!Area_de_impressao</vt:lpstr>
      <vt:lpstr>'CRONOGRAMA '!Area_de_impressao</vt:lpstr>
      <vt:lpstr>'CURVA ABC'!Area_de_impressao</vt:lpstr>
      <vt:lpstr>DMT!Area_de_impressao</vt:lpstr>
      <vt:lpstr>'MEMÓRIA DE CALCULO'!Area_de_impressao</vt:lpstr>
      <vt:lpstr>'PLANILHA '!Area_de_impressao</vt:lpstr>
      <vt:lpstr>REAJUSTE!Area_de_impressao</vt:lpstr>
      <vt:lpstr>RESUMO!Area_de_impressao</vt:lpstr>
      <vt:lpstr>BDI!Titulos_de_impressao</vt:lpstr>
      <vt:lpstr>COMP_01!Titulos_de_impressao</vt:lpstr>
      <vt:lpstr>COMP_03!Titulos_de_impressao</vt:lpstr>
      <vt:lpstr>COMP_04!Titulos_de_impressao</vt:lpstr>
      <vt:lpstr>COMP_2!Titulos_de_impressao</vt:lpstr>
      <vt:lpstr>'CRONOGRAMA '!Titulos_de_impressao</vt:lpstr>
      <vt:lpstr>'CURVA ABC'!Titulos_de_impressao</vt:lpstr>
      <vt:lpstr>DMT!Titulos_de_impressao</vt:lpstr>
      <vt:lpstr>'PLANILHA '!Titulos_de_impressao</vt:lpstr>
      <vt:lpstr>REAJUSTE!Titulos_de_impressao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fhrasko</dc:creator>
  <cp:lastModifiedBy>User</cp:lastModifiedBy>
  <cp:lastPrinted>2024-06-25T13:55:11Z</cp:lastPrinted>
  <dcterms:created xsi:type="dcterms:W3CDTF">2013-05-06T17:13:09Z</dcterms:created>
  <dcterms:modified xsi:type="dcterms:W3CDTF">2024-06-28T14:26:36Z</dcterms:modified>
</cp:coreProperties>
</file>